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alcanta\Downloads\"/>
    </mc:Choice>
  </mc:AlternateContent>
  <xr:revisionPtr revIDLastSave="0" documentId="8_{F97B13EC-3063-4931-8B38-998080362A14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Total Desembolsado" sheetId="2" r:id="rId1"/>
    <sheet name="Creditos Desembolsados" sheetId="1" r:id="rId2"/>
  </sheets>
  <definedNames>
    <definedName name="_xlnm._FilterDatabase" localSheetId="1" hidden="1">'Creditos Desembolsados'!$A$7:$AC$42</definedName>
    <definedName name="_xlnm.Print_Area" localSheetId="1">'Creditos Desembolsados'!$A$4:$AC$42</definedName>
    <definedName name="_xlnm.Print_Area" localSheetId="0">'Total Desembolsado'!$A$4:$AC$42</definedName>
    <definedName name="_xlnm.Print_Titles" localSheetId="1">'Creditos Desembolsados'!$1:$3</definedName>
    <definedName name="_xlnm.Print_Titles" localSheetId="0">'Total Desembolsado'!$1:$3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9" i="2" l="1"/>
  <c r="AA9" i="1"/>
  <c r="Z9" i="2"/>
  <c r="Z9" i="1"/>
  <c r="Y9" i="2"/>
  <c r="Y9" i="1"/>
  <c r="X9" i="2"/>
  <c r="W9" i="1" l="1"/>
  <c r="W9" i="2"/>
  <c r="V9" i="1" l="1"/>
  <c r="V9" i="2"/>
  <c r="U9" i="2" l="1"/>
  <c r="U9" i="1"/>
  <c r="T9" i="1" l="1"/>
  <c r="T9" i="2"/>
  <c r="S9" i="1" l="1"/>
  <c r="S9" i="2"/>
  <c r="R9" i="1" l="1"/>
  <c r="R9" i="2" l="1"/>
  <c r="Q9" i="2" l="1"/>
  <c r="Q9" i="1"/>
  <c r="P9" i="1" l="1"/>
  <c r="P9" i="2"/>
  <c r="O9" i="2" l="1"/>
  <c r="AB9" i="1"/>
  <c r="O9" i="1" l="1"/>
  <c r="AB9" i="2" l="1"/>
  <c r="AC41" i="2" l="1"/>
  <c r="AC38" i="2"/>
  <c r="AC36" i="2"/>
  <c r="AC26" i="2"/>
  <c r="AC22" i="2"/>
  <c r="AC20" i="2"/>
  <c r="AC16" i="2"/>
  <c r="AC15" i="2"/>
  <c r="AC13" i="2"/>
  <c r="AC10" i="2"/>
  <c r="AC41" i="1"/>
  <c r="AC38" i="1"/>
  <c r="AC36" i="1"/>
  <c r="AC26" i="1"/>
  <c r="AC22" i="1"/>
  <c r="AC20" i="1"/>
  <c r="AC16" i="1"/>
  <c r="AC15" i="1"/>
  <c r="AC13" i="1"/>
  <c r="AC10" i="1"/>
  <c r="N9" i="1" l="1"/>
  <c r="N9" i="2"/>
  <c r="M9" i="2"/>
  <c r="M9" i="1"/>
  <c r="L9" i="2" l="1"/>
  <c r="L9" i="1"/>
  <c r="K9" i="1" l="1"/>
  <c r="K9" i="2"/>
  <c r="H35" i="1"/>
  <c r="H33" i="1"/>
  <c r="H32" i="1"/>
  <c r="H31" i="1"/>
  <c r="AC31" i="1" s="1"/>
  <c r="H30" i="1"/>
  <c r="H29" i="1"/>
  <c r="H27" i="1"/>
  <c r="H25" i="1"/>
  <c r="H24" i="1"/>
  <c r="H23" i="1"/>
  <c r="H21" i="1"/>
  <c r="H18" i="1"/>
  <c r="H17" i="1"/>
  <c r="H12" i="1"/>
  <c r="H11" i="1"/>
  <c r="H37" i="2"/>
  <c r="H33" i="2"/>
  <c r="H32" i="2"/>
  <c r="H31" i="2"/>
  <c r="AC31" i="2" s="1"/>
  <c r="H30" i="2"/>
  <c r="H29" i="2"/>
  <c r="H27" i="2"/>
  <c r="H25" i="2"/>
  <c r="H24" i="2"/>
  <c r="H23" i="2"/>
  <c r="H21" i="2"/>
  <c r="H17" i="2"/>
  <c r="H12" i="2"/>
  <c r="H11" i="2"/>
  <c r="H18" i="2"/>
  <c r="B11" i="1"/>
  <c r="B17" i="1"/>
  <c r="B18" i="1"/>
  <c r="B23" i="1"/>
  <c r="B24" i="1"/>
  <c r="B30" i="1"/>
  <c r="B33" i="1"/>
  <c r="B35" i="1"/>
  <c r="C14" i="1"/>
  <c r="C18" i="1"/>
  <c r="C19" i="1"/>
  <c r="C23" i="1"/>
  <c r="C24" i="1"/>
  <c r="C30" i="1"/>
  <c r="C33" i="1"/>
  <c r="C34" i="1"/>
  <c r="C35" i="1"/>
  <c r="D14" i="1"/>
  <c r="D18" i="1"/>
  <c r="D19" i="1"/>
  <c r="D21" i="1"/>
  <c r="AC21" i="1" s="1"/>
  <c r="D23" i="1"/>
  <c r="D24" i="1"/>
  <c r="D33" i="1"/>
  <c r="D34" i="1"/>
  <c r="D35" i="1"/>
  <c r="D39" i="1"/>
  <c r="D40" i="1"/>
  <c r="AC40" i="1" s="1"/>
  <c r="E14" i="1"/>
  <c r="E18" i="1"/>
  <c r="E23" i="1"/>
  <c r="E24" i="1"/>
  <c r="E29" i="1"/>
  <c r="E32" i="1"/>
  <c r="E33" i="1"/>
  <c r="E34" i="1"/>
  <c r="E35" i="1"/>
  <c r="F17" i="1"/>
  <c r="F18" i="1"/>
  <c r="F23" i="1"/>
  <c r="F24" i="1"/>
  <c r="F27" i="1"/>
  <c r="F29" i="1"/>
  <c r="F32" i="1"/>
  <c r="F33" i="1"/>
  <c r="F37" i="1"/>
  <c r="F39" i="1"/>
  <c r="G11" i="1"/>
  <c r="G12" i="1"/>
  <c r="G14" i="1"/>
  <c r="G17" i="1"/>
  <c r="G18" i="1"/>
  <c r="G19" i="1"/>
  <c r="G23" i="1"/>
  <c r="G24" i="1"/>
  <c r="G25" i="1"/>
  <c r="G27" i="1"/>
  <c r="G28" i="1"/>
  <c r="AC28" i="1" s="1"/>
  <c r="G29" i="1"/>
  <c r="G30" i="1"/>
  <c r="G32" i="1"/>
  <c r="G33" i="1"/>
  <c r="G34" i="1"/>
  <c r="G37" i="1"/>
  <c r="G39" i="1"/>
  <c r="I9" i="1"/>
  <c r="I9" i="2"/>
  <c r="B11" i="2"/>
  <c r="G11" i="2"/>
  <c r="G12" i="2"/>
  <c r="C14" i="2"/>
  <c r="D14" i="2"/>
  <c r="E14" i="2"/>
  <c r="G14" i="2"/>
  <c r="B17" i="2"/>
  <c r="F17" i="2"/>
  <c r="G17" i="2"/>
  <c r="B18" i="2"/>
  <c r="C18" i="2"/>
  <c r="D18" i="2"/>
  <c r="E18" i="2"/>
  <c r="F18" i="2"/>
  <c r="G18" i="2"/>
  <c r="C19" i="2"/>
  <c r="D19" i="2"/>
  <c r="G19" i="2"/>
  <c r="D21" i="2"/>
  <c r="B23" i="2"/>
  <c r="C23" i="2"/>
  <c r="D23" i="2"/>
  <c r="E23" i="2"/>
  <c r="F23" i="2"/>
  <c r="G23" i="2"/>
  <c r="B24" i="2"/>
  <c r="C24" i="2"/>
  <c r="D24" i="2"/>
  <c r="E24" i="2"/>
  <c r="F24" i="2"/>
  <c r="G24" i="2"/>
  <c r="G25" i="2"/>
  <c r="F27" i="2"/>
  <c r="G27" i="2"/>
  <c r="G28" i="2"/>
  <c r="AC28" i="2" s="1"/>
  <c r="E29" i="2"/>
  <c r="F29" i="2"/>
  <c r="G29" i="2"/>
  <c r="B30" i="2"/>
  <c r="C30" i="2"/>
  <c r="G30" i="2"/>
  <c r="E32" i="2"/>
  <c r="F32" i="2"/>
  <c r="G32" i="2"/>
  <c r="B33" i="2"/>
  <c r="C33" i="2"/>
  <c r="D33" i="2"/>
  <c r="E33" i="2"/>
  <c r="F33" i="2"/>
  <c r="G33" i="2"/>
  <c r="C34" i="2"/>
  <c r="D34" i="2"/>
  <c r="E34" i="2"/>
  <c r="G34" i="2"/>
  <c r="B35" i="2"/>
  <c r="C35" i="2"/>
  <c r="D35" i="2"/>
  <c r="E35" i="2"/>
  <c r="F37" i="2"/>
  <c r="G37" i="2"/>
  <c r="D39" i="2"/>
  <c r="F39" i="2"/>
  <c r="G39" i="2"/>
  <c r="D40" i="2"/>
  <c r="AC40" i="2" s="1"/>
  <c r="AC12" i="2" l="1"/>
  <c r="AC25" i="2"/>
  <c r="AC25" i="1"/>
  <c r="AC21" i="2"/>
  <c r="AC12" i="1"/>
  <c r="AC37" i="1"/>
  <c r="AC27" i="1"/>
  <c r="AC32" i="1"/>
  <c r="AC34" i="1"/>
  <c r="AC35" i="1"/>
  <c r="AC30" i="1"/>
  <c r="AC23" i="1"/>
  <c r="AC17" i="1"/>
  <c r="AC29" i="1"/>
  <c r="AC39" i="1"/>
  <c r="AC19" i="1"/>
  <c r="AC14" i="1"/>
  <c r="AC33" i="1"/>
  <c r="AC24" i="1"/>
  <c r="AC18" i="1"/>
  <c r="AC11" i="1"/>
  <c r="AC32" i="2"/>
  <c r="AC29" i="2"/>
  <c r="AC24" i="2"/>
  <c r="AC23" i="2"/>
  <c r="AC19" i="2"/>
  <c r="AC18" i="2"/>
  <c r="AC11" i="2"/>
  <c r="AC39" i="2"/>
  <c r="AC37" i="2"/>
  <c r="AC35" i="2"/>
  <c r="AC34" i="2"/>
  <c r="AC33" i="2"/>
  <c r="AC30" i="2"/>
  <c r="AC27" i="2"/>
  <c r="AC17" i="2"/>
  <c r="AC14" i="2"/>
  <c r="B9" i="2"/>
  <c r="E9" i="1"/>
  <c r="D9" i="1"/>
  <c r="H9" i="1"/>
  <c r="C9" i="1"/>
  <c r="F9" i="1"/>
  <c r="G9" i="1"/>
  <c r="B9" i="1"/>
  <c r="J9" i="1"/>
  <c r="F9" i="2"/>
  <c r="H9" i="2"/>
  <c r="G9" i="2"/>
  <c r="D9" i="2"/>
  <c r="E9" i="2"/>
  <c r="C9" i="2"/>
  <c r="J9" i="2"/>
  <c r="AC9" i="2" l="1"/>
  <c r="AC9" i="1"/>
</calcChain>
</file>

<file path=xl/sharedStrings.xml><?xml version="1.0" encoding="utf-8"?>
<sst xmlns="http://schemas.openxmlformats.org/spreadsheetml/2006/main" count="134" uniqueCount="43">
  <si>
    <t>BANCO NACIONAL DE OBRAS Y SERVICIOS PUBLICOS, S.N.C.</t>
  </si>
  <si>
    <t>INSTITUCION DE BANCA DE DESARROLLO</t>
  </si>
  <si>
    <t>CIFRAS EN MONEDA NACIONAL</t>
  </si>
  <si>
    <t>CONCEPTO</t>
  </si>
  <si>
    <t>DIC</t>
  </si>
  <si>
    <t>TOTAL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</si>
  <si>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</si>
  <si>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</si>
  <si>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</si>
  <si>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</si>
  <si>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</si>
  <si>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</si>
  <si>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</si>
  <si>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</si>
  <si>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DISTRITO FEDERAL</t>
  </si>
  <si>
    <t>DURANGO</t>
  </si>
  <si>
    <t>GUANAJUATO</t>
  </si>
  <si>
    <t>GUERRERO</t>
  </si>
  <si>
    <t>HIDALGO</t>
  </si>
  <si>
    <t>JALISCO</t>
  </si>
  <si>
    <t>MEXICO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</si>
  <si>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</si>
  <si>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</si>
  <si>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</si>
  <si>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</si>
  <si>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</si>
  <si>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</si>
  <si>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</si>
  <si>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</si>
  <si>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</si>
  <si>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</si>
  <si>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>SONORA</t>
  </si>
  <si>
    <t>TABASCO</t>
  </si>
  <si>
    <t>TAMAULIPAS</t>
  </si>
  <si>
    <t>TLAXCALA</t>
  </si>
  <si>
    <t>VERACRUZ</t>
  </si>
  <si>
    <t>YUCATAN</t>
  </si>
  <si>
    <t>ZACATECAS</t>
  </si>
  <si>
    <t>( por situación geográfica)</t>
  </si>
  <si>
    <t>* Adecuación de cifras en Tamaulipas</t>
  </si>
  <si>
    <t>JUN</t>
  </si>
  <si>
    <t>TOTAL DE CREDITOS DESEMBOLSADOS DE 2000 A 2026</t>
  </si>
  <si>
    <t>TOTAL OTORGADO DE 2000 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</si>
</sst>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€-2]* #,##0.00_-;\-[$€-2]* #,##0.00_-;_-[$€-2]* &quot;-&quot;??_-"/>
    <numFmt numFmtId="165" formatCode="#\ ##0"/>
  </numFmts>
  <fonts count="6" x14ac:knownFonts="1">
    <font>
      <sz val="8"/>
      <name val="Arial"/>
    </font>
    <font>
      <sz val="8"/>
      <name val="Arial"/>
      <family val="2"/>
    </font>
    <font>
      <b/>
      <sz val="14"/>
      <name val="Noto Sans"/>
      <family val="2"/>
    </font>
    <font>
      <b/>
      <sz val="12"/>
      <name val="Noto Sans"/>
      <family val="2"/>
    </font>
    <font>
      <b/>
      <sz val="8"/>
      <name val="Noto Sans"/>
      <family val="2"/>
    </font>
    <font>
      <sz val="8"/>
      <name val="Noto San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17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3" fontId="5" fillId="0" borderId="0" xfId="0" applyNumberFormat="1" applyFont="1"/>
    <xf numFmtId="0" fontId="5" fillId="0" borderId="2" xfId="0" applyFont="1" applyBorder="1" applyAlignment="1">
      <alignment horizontal="left" vertical="center" wrapText="1"/>
    </xf>
    <xf numFmtId="4" fontId="5" fillId="0" borderId="2" xfId="2" applyNumberFormat="1" applyFont="1" applyBorder="1" applyAlignment="1">
      <alignment horizontal="right" vertical="center" wrapText="1"/>
    </xf>
    <xf numFmtId="4" fontId="5" fillId="0" borderId="2" xfId="2" applyNumberFormat="1" applyFont="1" applyFill="1" applyBorder="1" applyAlignment="1">
      <alignment horizontal="right" vertical="center" wrapText="1"/>
    </xf>
    <xf numFmtId="43" fontId="5" fillId="0" borderId="0" xfId="2" applyFont="1"/>
    <xf numFmtId="4" fontId="5" fillId="0" borderId="0" xfId="0" applyNumberFormat="1" applyFont="1"/>
    <xf numFmtId="0" fontId="5" fillId="0" borderId="2" xfId="0" quotePrefix="1" applyFont="1" applyBorder="1" applyAlignment="1">
      <alignment horizontal="left" vertical="center" wrapText="1"/>
    </xf>
    <xf numFmtId="0" fontId="5" fillId="0" borderId="0" xfId="0" applyFont="1" applyFill="1"/>
    <xf numFmtId="43" fontId="5" fillId="0" borderId="0" xfId="2" applyFont="1" applyFill="1"/>
    <xf numFmtId="165" fontId="4" fillId="0" borderId="2" xfId="0" applyNumberFormat="1" applyFont="1" applyBorder="1" applyAlignment="1">
      <alignment horizontal="right" vertical="center" wrapText="1"/>
    </xf>
    <xf numFmtId="165" fontId="4" fillId="0" borderId="2" xfId="0" applyNumberFormat="1" applyFont="1" applyFill="1" applyBorder="1" applyAlignment="1">
      <alignment horizontal="right" vertical="center" wrapText="1"/>
    </xf>
    <xf numFmtId="3" fontId="5" fillId="0" borderId="0" xfId="0" applyNumberFormat="1" applyFont="1"/>
    <xf numFmtId="165" fontId="5" fillId="0" borderId="2" xfId="2" applyNumberFormat="1" applyFont="1" applyBorder="1" applyAlignment="1">
      <alignment horizontal="right" vertical="center" wrapText="1"/>
    </xf>
    <xf numFmtId="165" fontId="5" fillId="0" borderId="2" xfId="2" applyNumberFormat="1" applyFont="1" applyFill="1" applyBorder="1" applyAlignment="1">
      <alignment horizontal="right" vertical="center" wrapText="1"/>
    </xf>
    <xf numFmtId="3" fontId="5" fillId="0" borderId="2" xfId="2" applyNumberFormat="1" applyFont="1" applyFill="1" applyBorder="1" applyAlignment="1">
      <alignment horizontal="right" vertical="center" wrapText="1"/>
    </xf>
    <xf numFmtId="0" fontId="5" fillId="0" borderId="0" xfId="0" quotePrefix="1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Euro" xfId="1" xr:uid="{00000000-0005-0000-0000-000000000000}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900382</xdr:colOff>
      <xdr:row>36</xdr:row>
      <xdr:rowOff>85725</xdr:rowOff>
    </xdr:from>
    <xdr:to>
      <xdr:col>2</xdr:col>
      <xdr:colOff>1052187</xdr:colOff>
      <xdr:row>36</xdr:row>
      <xdr:rowOff>219075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3781425" y="8191500"/>
          <a:ext cx="14287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"/>
              <a:cs typeface="Arial"/>
            </a:rPr>
            <a:t>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F46"/>
  <sheetViews>
    <sheetView showGridLines="0" showZeros="0" tabSelected="1" workbookViewId="0">
      <pane xSplit="1" ySplit="9" topLeftCell="Y10" activePane="bottomRight" state="frozen"/>
      <selection pane="topRight" activeCell="B1" sqref="B1"/>
      <selection pane="bottomLeft" activeCell="A10" sqref="A10"/>
      <selection pane="bottomRight" activeCell="AB7" sqref="AB7:AB9"/>
    </sheetView>
  </sheetViews>
  <sheetFormatPr baseColWidth="10" defaultColWidth="12" defaultRowHeight="13.5" x14ac:dyDescent="0.3"/>
  <cols>
    <col min="1" max="1" width="28.83203125" style="4" customWidth="1"/>
    <col min="2" max="7" width="21.5" style="4" bestFit="1" customWidth="1"/>
    <col min="8" max="8" width="21.5" style="23" customWidth="1"/>
    <col min="9" max="9" width="21.5" style="23" bestFit="1" customWidth="1"/>
    <col min="10" max="19" width="21.5" style="23" customWidth="1"/>
    <col min="20" max="24" width="22.83203125" style="23" bestFit="1" customWidth="1"/>
    <col min="25" max="25" width="22.83203125" style="23" customWidth="1"/>
    <col min="26" max="26" width="22.83203125" style="23" bestFit="1" customWidth="1"/>
    <col min="27" max="27" width="22.83203125" style="23" customWidth="1"/>
    <col min="28" max="28" width="22.83203125" style="23" bestFit="1" customWidth="1"/>
    <col min="29" max="29" width="29.83203125" style="4" customWidth="1"/>
    <col min="30" max="30" width="17.83203125" style="4" bestFit="1" customWidth="1"/>
    <col min="31" max="32" width="19.6640625" style="4" bestFit="1" customWidth="1"/>
    <col min="33" max="16384" width="12" style="4"/>
  </cols>
  <sheetData>
    <row r="1" spans="1:32" s="1" customFormat="1" ht="24" x14ac:dyDescent="0.5500000000000000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32" s="2" customFormat="1" x14ac:dyDescent="0.3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32" s="2" customFormat="1" x14ac:dyDescent="0.3"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32" x14ac:dyDescent="0.3">
      <c r="A4" s="37" t="s">
        <v>42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</row>
    <row r="5" spans="1:32" x14ac:dyDescent="0.3">
      <c r="A5" s="5" t="s">
        <v>38</v>
      </c>
      <c r="B5" s="5"/>
      <c r="C5" s="5"/>
      <c r="D5" s="5"/>
      <c r="E5" s="5"/>
      <c r="F5" s="5"/>
      <c r="G5" s="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5"/>
    </row>
    <row r="6" spans="1:32" x14ac:dyDescent="0.3">
      <c r="A6" s="38" t="s">
        <v>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</row>
    <row r="7" spans="1:32" ht="10.5" customHeight="1" x14ac:dyDescent="0.3">
      <c r="A7" s="32" t="s">
        <v>3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8" t="s">
        <v>4</v>
      </c>
      <c r="I7" s="9" t="s">
        <v>4</v>
      </c>
      <c r="J7" s="10" t="s">
        <v>4</v>
      </c>
      <c r="K7" s="8" t="s">
        <v>4</v>
      </c>
      <c r="L7" s="8" t="s">
        <v>4</v>
      </c>
      <c r="M7" s="8" t="s">
        <v>4</v>
      </c>
      <c r="N7" s="8" t="s">
        <v>4</v>
      </c>
      <c r="O7" s="8" t="s">
        <v>4</v>
      </c>
      <c r="P7" s="8" t="s">
        <v>4</v>
      </c>
      <c r="Q7" s="8" t="s">
        <v>4</v>
      </c>
      <c r="R7" s="8" t="s">
        <v>4</v>
      </c>
      <c r="S7" s="8" t="s">
        <v>4</v>
      </c>
      <c r="T7" s="8" t="s">
        <v>4</v>
      </c>
      <c r="U7" s="8" t="s">
        <v>4</v>
      </c>
      <c r="V7" s="8" t="s">
        <v>4</v>
      </c>
      <c r="W7" s="8" t="s">
        <v>4</v>
      </c>
      <c r="X7" s="8" t="s">
        <v>4</v>
      </c>
      <c r="Y7" s="8" t="s">
        <v>4</v>
      </c>
      <c r="Z7" s="8" t="s">
        <v>4</v>
      </c>
      <c r="AA7" s="8" t="s">
        <v>4</v>
      </c>
      <c r="AB7" s="8" t="s">
        <v>40</v>
      </c>
      <c r="AC7" s="33" t="s">
        <v>5</v>
      </c>
    </row>
    <row r="8" spans="1:32" ht="10.5" customHeight="1" x14ac:dyDescent="0.3">
      <c r="A8" s="32"/>
      <c r="B8" s="11">
        <v>2000</v>
      </c>
      <c r="C8" s="11">
        <v>2001</v>
      </c>
      <c r="D8" s="11">
        <v>2002</v>
      </c>
      <c r="E8" s="11">
        <v>2003</v>
      </c>
      <c r="F8" s="11">
        <v>2004</v>
      </c>
      <c r="G8" s="11">
        <v>2005</v>
      </c>
      <c r="H8" s="12">
        <v>2006</v>
      </c>
      <c r="I8" s="12">
        <v>2007</v>
      </c>
      <c r="J8" s="12">
        <v>2008</v>
      </c>
      <c r="K8" s="12">
        <v>2009</v>
      </c>
      <c r="L8" s="12">
        <v>2010</v>
      </c>
      <c r="M8" s="12">
        <v>2011</v>
      </c>
      <c r="N8" s="12">
        <v>2012</v>
      </c>
      <c r="O8" s="12">
        <v>2013</v>
      </c>
      <c r="P8" s="12">
        <v>2014</v>
      </c>
      <c r="Q8" s="12">
        <v>2015</v>
      </c>
      <c r="R8" s="12">
        <v>2016</v>
      </c>
      <c r="S8" s="12">
        <v>2017</v>
      </c>
      <c r="T8" s="12">
        <v>2018</v>
      </c>
      <c r="U8" s="12">
        <v>2019</v>
      </c>
      <c r="V8" s="12">
        <v>2020</v>
      </c>
      <c r="W8" s="12">
        <v>2021</v>
      </c>
      <c r="X8" s="12">
        <v>2022</v>
      </c>
      <c r="Y8" s="12">
        <v>2023</v>
      </c>
      <c r="Z8" s="12">
        <v>2024</v>
      </c>
      <c r="AA8" s="12">
        <v>2025</v>
      </c>
      <c r="AB8" s="12">
        <v>2026</v>
      </c>
      <c r="AC8" s="34"/>
    </row>
    <row r="9" spans="1:32" ht="19.5" customHeight="1" x14ac:dyDescent="0.3">
      <c r="A9" s="13" t="s">
        <v>5</v>
      </c>
      <c r="B9" s="14">
        <f t="shared" ref="B9:J9" si="0">SUM(B10:B41)</f>
        <v>13965956341.410002</v>
      </c>
      <c r="C9" s="14">
        <f t="shared" si="0"/>
        <v>10452769213.51</v>
      </c>
      <c r="D9" s="14">
        <f t="shared" si="0"/>
        <v>26765007288.130005</v>
      </c>
      <c r="E9" s="14">
        <f t="shared" si="0"/>
        <v>11314869758.579998</v>
      </c>
      <c r="F9" s="14">
        <f t="shared" si="0"/>
        <v>14021399104.190002</v>
      </c>
      <c r="G9" s="14">
        <f t="shared" si="0"/>
        <v>10309017175.740625</v>
      </c>
      <c r="H9" s="15">
        <f t="shared" si="0"/>
        <v>10247201130.701998</v>
      </c>
      <c r="I9" s="15">
        <f t="shared" si="0"/>
        <v>29234889966.930046</v>
      </c>
      <c r="J9" s="15">
        <f t="shared" si="0"/>
        <v>19694713103.928761</v>
      </c>
      <c r="K9" s="15">
        <f t="shared" ref="K9:L9" si="1">SUM(K10:K41)</f>
        <v>42159420952.712463</v>
      </c>
      <c r="L9" s="15">
        <f t="shared" si="1"/>
        <v>25875458409.821033</v>
      </c>
      <c r="M9" s="15">
        <f t="shared" ref="M9" si="2">SUM(M10:M41)</f>
        <v>55906952569.089958</v>
      </c>
      <c r="N9" s="15">
        <f t="shared" ref="N9" si="3">SUM(N10:N41)</f>
        <v>67297355736.465477</v>
      </c>
      <c r="O9" s="15">
        <f t="shared" ref="O9:AB9" si="4">SUM(O10:O41)</f>
        <v>62869920557.145287</v>
      </c>
      <c r="P9" s="15">
        <f t="shared" ref="P9:AA9" si="5">SUM(P10:P41)</f>
        <v>70764260214.63002</v>
      </c>
      <c r="Q9" s="15">
        <f t="shared" si="5"/>
        <v>58535281269.029984</v>
      </c>
      <c r="R9" s="15">
        <f t="shared" si="5"/>
        <v>59831157948.099998</v>
      </c>
      <c r="S9" s="15">
        <f t="shared" si="5"/>
        <v>61598292607.305397</v>
      </c>
      <c r="T9" s="15">
        <f t="shared" si="5"/>
        <v>110402750437.25999</v>
      </c>
      <c r="U9" s="15">
        <f t="shared" si="5"/>
        <v>54425842339.909996</v>
      </c>
      <c r="V9" s="15">
        <f t="shared" si="5"/>
        <v>122973641688.43001</v>
      </c>
      <c r="W9" s="15">
        <f t="shared" si="5"/>
        <v>88816938069.179993</v>
      </c>
      <c r="X9" s="15">
        <f t="shared" si="5"/>
        <v>110961556174.19939</v>
      </c>
      <c r="Y9" s="15">
        <f t="shared" si="5"/>
        <v>170774338379.18524</v>
      </c>
      <c r="Z9" s="15">
        <f t="shared" si="5"/>
        <v>105652242125.53284</v>
      </c>
      <c r="AA9" s="15">
        <f t="shared" si="5"/>
        <v>129749716171.26651</v>
      </c>
      <c r="AB9" s="15">
        <f t="shared" si="4"/>
        <v>25058369633.617905</v>
      </c>
      <c r="AC9" s="15">
        <f t="shared" ref="AC9" si="6">SUM(AC10:AC41)</f>
        <v>1569659318366.0029</v>
      </c>
      <c r="AD9" s="16"/>
      <c r="AE9" s="16"/>
      <c r="AF9" s="16"/>
    </row>
    <row r="10" spans="1:32" ht="19.5" customHeight="1" x14ac:dyDescent="0.3">
      <c r="A10" s="17" t="s">
        <v>6</v>
      </c>
      <c r="B10" s="18">
        <v>7260912.4000000004</v>
      </c>
      <c r="C10" s="18">
        <v>8446286.2599999998</v>
      </c>
      <c r="D10" s="18">
        <v>152281212.34999999</v>
      </c>
      <c r="E10" s="18">
        <v>143894770.03</v>
      </c>
      <c r="F10" s="18">
        <v>7928415.8700000001</v>
      </c>
      <c r="G10" s="18">
        <v>18148692.509999998</v>
      </c>
      <c r="H10" s="19">
        <v>10889000</v>
      </c>
      <c r="I10" s="19">
        <v>6911000</v>
      </c>
      <c r="J10" s="19">
        <v>108904171.42300001</v>
      </c>
      <c r="K10" s="19">
        <v>225805894.72</v>
      </c>
      <c r="L10" s="19">
        <v>48300000</v>
      </c>
      <c r="M10" s="19">
        <v>361634522.56999999</v>
      </c>
      <c r="N10" s="19">
        <v>507965468.16999996</v>
      </c>
      <c r="O10" s="19">
        <v>328700000</v>
      </c>
      <c r="P10" s="19">
        <v>26843737.040000003</v>
      </c>
      <c r="Q10" s="19">
        <v>224447594</v>
      </c>
      <c r="R10" s="19">
        <v>154100000</v>
      </c>
      <c r="S10" s="19">
        <v>5000000</v>
      </c>
      <c r="T10" s="19">
        <v>10600000.289999999</v>
      </c>
      <c r="U10" s="19">
        <v>6000000</v>
      </c>
      <c r="V10" s="19">
        <v>44108999.32</v>
      </c>
      <c r="W10" s="19">
        <v>0</v>
      </c>
      <c r="X10" s="19">
        <v>117829997.8</v>
      </c>
      <c r="Y10" s="19">
        <v>13100000</v>
      </c>
      <c r="Z10" s="19">
        <v>0</v>
      </c>
      <c r="AA10" s="19">
        <v>16700000</v>
      </c>
      <c r="AB10" s="19">
        <v>1200000000</v>
      </c>
      <c r="AC10" s="19">
        <f t="shared" ref="AC10:AC41" si="7">SUM(B10:AB10)</f>
        <v>3755800674.7530003</v>
      </c>
      <c r="AD10" s="20"/>
      <c r="AE10" s="21"/>
      <c r="AF10" s="16"/>
    </row>
    <row r="11" spans="1:32" ht="19.5" customHeight="1" x14ac:dyDescent="0.3">
      <c r="A11" s="17" t="s">
        <v>7</v>
      </c>
      <c r="B11" s="18">
        <f>150033014.25+121800000</f>
        <v>271833014.25</v>
      </c>
      <c r="C11" s="18">
        <v>18800000</v>
      </c>
      <c r="D11" s="18">
        <v>0</v>
      </c>
      <c r="E11" s="18">
        <v>102750000</v>
      </c>
      <c r="F11" s="18">
        <v>123198764.94</v>
      </c>
      <c r="G11" s="18">
        <f>66673103.65+66400000</f>
        <v>133073103.65000001</v>
      </c>
      <c r="H11" s="19">
        <f>145189750+77300000</f>
        <v>222489750</v>
      </c>
      <c r="I11" s="19">
        <v>488840267.37</v>
      </c>
      <c r="J11" s="19">
        <v>130866035.69</v>
      </c>
      <c r="K11" s="19">
        <v>474351006.66999996</v>
      </c>
      <c r="L11" s="19">
        <v>326667321.07999998</v>
      </c>
      <c r="M11" s="19">
        <v>1899930244.0500002</v>
      </c>
      <c r="N11" s="19">
        <v>665369194.42000008</v>
      </c>
      <c r="O11" s="19">
        <v>544474163.63</v>
      </c>
      <c r="P11" s="19">
        <v>452272348.48000002</v>
      </c>
      <c r="Q11" s="19">
        <v>143630889.69999999</v>
      </c>
      <c r="R11" s="19">
        <v>444760219.12</v>
      </c>
      <c r="S11" s="19">
        <v>349849313.21999997</v>
      </c>
      <c r="T11" s="19">
        <v>308043910.90000004</v>
      </c>
      <c r="U11" s="19">
        <v>193901854.75</v>
      </c>
      <c r="V11" s="19">
        <v>5801084757.3000011</v>
      </c>
      <c r="W11" s="19">
        <v>207261176.92999998</v>
      </c>
      <c r="X11" s="19">
        <v>47877529.700000003</v>
      </c>
      <c r="Y11" s="19">
        <v>0</v>
      </c>
      <c r="Z11" s="19">
        <v>0</v>
      </c>
      <c r="AA11" s="19">
        <v>0</v>
      </c>
      <c r="AB11" s="19">
        <v>0</v>
      </c>
      <c r="AC11" s="19">
        <f t="shared" si="7"/>
        <v>13351324865.850002</v>
      </c>
      <c r="AD11" s="20"/>
      <c r="AE11" s="21"/>
      <c r="AF11" s="16"/>
    </row>
    <row r="12" spans="1:32" ht="19.5" customHeight="1" x14ac:dyDescent="0.3">
      <c r="A12" s="17" t="s">
        <v>8</v>
      </c>
      <c r="B12" s="18">
        <v>109477056.31999999</v>
      </c>
      <c r="C12" s="18">
        <v>181334238.59</v>
      </c>
      <c r="D12" s="18">
        <v>138054930.47</v>
      </c>
      <c r="E12" s="18">
        <v>73973701.739999995</v>
      </c>
      <c r="F12" s="18">
        <v>40000000</v>
      </c>
      <c r="G12" s="18">
        <f>89847565.4+41000000</f>
        <v>130847565.40000001</v>
      </c>
      <c r="H12" s="19">
        <f>140954799.996+67200000</f>
        <v>208154799.99599999</v>
      </c>
      <c r="I12" s="19">
        <v>30154844.510000002</v>
      </c>
      <c r="J12" s="19">
        <v>0</v>
      </c>
      <c r="K12" s="19">
        <v>150871788.09999999</v>
      </c>
      <c r="L12" s="19">
        <v>143284963.41999999</v>
      </c>
      <c r="M12" s="19">
        <v>20307520.530000001</v>
      </c>
      <c r="N12" s="19">
        <v>35009944.619999997</v>
      </c>
      <c r="O12" s="19">
        <v>21000000</v>
      </c>
      <c r="P12" s="19">
        <v>14707382</v>
      </c>
      <c r="Q12" s="19">
        <v>706100057.04000008</v>
      </c>
      <c r="R12" s="19">
        <v>0</v>
      </c>
      <c r="S12" s="19">
        <v>221400694</v>
      </c>
      <c r="T12" s="19">
        <v>432060927.24000001</v>
      </c>
      <c r="U12" s="19">
        <v>105093858.72</v>
      </c>
      <c r="V12" s="19">
        <v>72451405.5</v>
      </c>
      <c r="W12" s="19">
        <v>101323263.14999999</v>
      </c>
      <c r="X12" s="19">
        <v>98857910.640000001</v>
      </c>
      <c r="Y12" s="19">
        <v>31958261.880000003</v>
      </c>
      <c r="Z12" s="19">
        <v>65216008.319999993</v>
      </c>
      <c r="AA12" s="19">
        <v>89384254.969999999</v>
      </c>
      <c r="AB12" s="19">
        <v>3212915.01</v>
      </c>
      <c r="AC12" s="19">
        <f t="shared" si="7"/>
        <v>3224238292.1659999</v>
      </c>
      <c r="AD12" s="20"/>
      <c r="AE12" s="21"/>
      <c r="AF12" s="16"/>
    </row>
    <row r="13" spans="1:32" ht="19.5" customHeight="1" x14ac:dyDescent="0.3">
      <c r="A13" s="17" t="s">
        <v>9</v>
      </c>
      <c r="B13" s="18">
        <v>7218584.4800000004</v>
      </c>
      <c r="C13" s="18">
        <v>8926200.3900000006</v>
      </c>
      <c r="D13" s="18">
        <v>1114867.81</v>
      </c>
      <c r="E13" s="18">
        <v>0</v>
      </c>
      <c r="F13" s="18">
        <v>31369635.02</v>
      </c>
      <c r="G13" s="18">
        <v>58537186.840000004</v>
      </c>
      <c r="H13" s="19">
        <v>2637561.25</v>
      </c>
      <c r="I13" s="19">
        <v>61825519.590000004</v>
      </c>
      <c r="J13" s="19">
        <v>39946900</v>
      </c>
      <c r="K13" s="19">
        <v>13000000</v>
      </c>
      <c r="L13" s="19">
        <v>191667770.5</v>
      </c>
      <c r="M13" s="19">
        <v>61777479.149999999</v>
      </c>
      <c r="N13" s="19">
        <v>170449015</v>
      </c>
      <c r="O13" s="19">
        <v>302347484.09000003</v>
      </c>
      <c r="P13" s="19">
        <v>248486372.78999996</v>
      </c>
      <c r="Q13" s="19">
        <v>19250656.289999999</v>
      </c>
      <c r="R13" s="19">
        <v>61497997.820000008</v>
      </c>
      <c r="S13" s="19">
        <v>0</v>
      </c>
      <c r="T13" s="19">
        <v>265092610.57999998</v>
      </c>
      <c r="U13" s="19">
        <v>0</v>
      </c>
      <c r="V13" s="19">
        <v>198569996.88</v>
      </c>
      <c r="W13" s="19">
        <v>0</v>
      </c>
      <c r="X13" s="19">
        <v>150416992.64000002</v>
      </c>
      <c r="Y13" s="19">
        <v>38125000</v>
      </c>
      <c r="Z13" s="19">
        <v>0</v>
      </c>
      <c r="AA13" s="19">
        <v>0</v>
      </c>
      <c r="AB13" s="19">
        <v>23621228.990000002</v>
      </c>
      <c r="AC13" s="19">
        <f t="shared" si="7"/>
        <v>1955879060.1099997</v>
      </c>
      <c r="AD13" s="20"/>
      <c r="AE13" s="21"/>
      <c r="AF13" s="16"/>
    </row>
    <row r="14" spans="1:32" ht="19.5" customHeight="1" x14ac:dyDescent="0.3">
      <c r="A14" s="17" t="s">
        <v>10</v>
      </c>
      <c r="B14" s="18">
        <v>151859356.46000001</v>
      </c>
      <c r="C14" s="18">
        <f>2040.73+183700000</f>
        <v>183702040.72999999</v>
      </c>
      <c r="D14" s="18">
        <f>251498.02+93900000</f>
        <v>94151498.019999996</v>
      </c>
      <c r="E14" s="18">
        <f>12659874.88+1600000</f>
        <v>14259874.880000001</v>
      </c>
      <c r="F14" s="18">
        <v>67574950.349999994</v>
      </c>
      <c r="G14" s="18">
        <f>130753710.88+252000000</f>
        <v>382753710.88</v>
      </c>
      <c r="H14" s="19">
        <v>6140955.3499999996</v>
      </c>
      <c r="I14" s="19">
        <v>31763079.640000001</v>
      </c>
      <c r="J14" s="19">
        <v>395040421.56</v>
      </c>
      <c r="K14" s="19">
        <v>823541189.04999995</v>
      </c>
      <c r="L14" s="19">
        <v>139558480.18000001</v>
      </c>
      <c r="M14" s="19">
        <v>253117251.88000003</v>
      </c>
      <c r="N14" s="19">
        <v>169267215.88</v>
      </c>
      <c r="O14" s="19">
        <v>720828666.28999996</v>
      </c>
      <c r="P14" s="19">
        <v>5082978.51</v>
      </c>
      <c r="Q14" s="19">
        <v>3528465103.8000002</v>
      </c>
      <c r="R14" s="19">
        <v>21480272.949999999</v>
      </c>
      <c r="S14" s="19">
        <v>98868079.170000002</v>
      </c>
      <c r="T14" s="19">
        <v>8601904807.4499989</v>
      </c>
      <c r="U14" s="19">
        <v>13072966.189999999</v>
      </c>
      <c r="V14" s="19">
        <v>13936404.33</v>
      </c>
      <c r="W14" s="19">
        <v>63468255.829999991</v>
      </c>
      <c r="X14" s="19">
        <v>12796324.66</v>
      </c>
      <c r="Y14" s="19">
        <v>9708960462.5499992</v>
      </c>
      <c r="Z14" s="19">
        <v>90781015.620000005</v>
      </c>
      <c r="AA14" s="19">
        <v>37421921.710000001</v>
      </c>
      <c r="AB14" s="19">
        <v>0</v>
      </c>
      <c r="AC14" s="19">
        <f t="shared" si="7"/>
        <v>25629797283.919994</v>
      </c>
      <c r="AD14" s="20"/>
      <c r="AE14" s="21"/>
      <c r="AF14" s="16"/>
    </row>
    <row r="15" spans="1:32" ht="19.5" customHeight="1" x14ac:dyDescent="0.3">
      <c r="A15" s="17" t="s">
        <v>11</v>
      </c>
      <c r="B15" s="18">
        <v>45116855.490000002</v>
      </c>
      <c r="C15" s="18">
        <v>43069045.640000001</v>
      </c>
      <c r="D15" s="18">
        <v>55673000</v>
      </c>
      <c r="E15" s="18">
        <v>64745165.280000001</v>
      </c>
      <c r="F15" s="18">
        <v>60731919.229999997</v>
      </c>
      <c r="G15" s="18">
        <v>71739712.539999992</v>
      </c>
      <c r="H15" s="19">
        <v>63000000</v>
      </c>
      <c r="I15" s="19">
        <v>75000000</v>
      </c>
      <c r="J15" s="19">
        <v>1017487269.65</v>
      </c>
      <c r="K15" s="19">
        <v>0</v>
      </c>
      <c r="L15" s="19">
        <v>100924997.43000001</v>
      </c>
      <c r="M15" s="19">
        <v>78750999.890000001</v>
      </c>
      <c r="N15" s="19">
        <v>286998782</v>
      </c>
      <c r="O15" s="19">
        <v>879522089.02999997</v>
      </c>
      <c r="P15" s="19">
        <v>75700000</v>
      </c>
      <c r="Q15" s="19">
        <v>0</v>
      </c>
      <c r="R15" s="19">
        <v>32595355.48</v>
      </c>
      <c r="S15" s="19">
        <v>16565303.390000001</v>
      </c>
      <c r="T15" s="19">
        <v>200000000</v>
      </c>
      <c r="U15" s="19">
        <v>101636962.25</v>
      </c>
      <c r="V15" s="19">
        <v>138979588.16</v>
      </c>
      <c r="W15" s="19">
        <v>0</v>
      </c>
      <c r="X15" s="19">
        <v>26884999.969999999</v>
      </c>
      <c r="Y15" s="19">
        <v>148128011.62</v>
      </c>
      <c r="Z15" s="19">
        <v>24752500</v>
      </c>
      <c r="AA15" s="19">
        <v>7995168.4900000002</v>
      </c>
      <c r="AB15" s="19">
        <v>8183020.9299999997</v>
      </c>
      <c r="AC15" s="19">
        <f t="shared" si="7"/>
        <v>3624180746.4699993</v>
      </c>
      <c r="AD15" s="20"/>
      <c r="AE15" s="21"/>
      <c r="AF15" s="16"/>
    </row>
    <row r="16" spans="1:32" ht="19.5" customHeight="1" x14ac:dyDescent="0.3">
      <c r="A16" s="17" t="s">
        <v>12</v>
      </c>
      <c r="B16" s="18">
        <v>0</v>
      </c>
      <c r="C16" s="18"/>
      <c r="D16" s="18">
        <v>6024246.4900000002</v>
      </c>
      <c r="E16" s="18">
        <v>12642411.130000001</v>
      </c>
      <c r="F16" s="18">
        <v>177399245.75999999</v>
      </c>
      <c r="G16" s="18">
        <v>379626745.88999999</v>
      </c>
      <c r="H16" s="19">
        <v>356184787.57899994</v>
      </c>
      <c r="I16" s="19">
        <v>84205378.940000027</v>
      </c>
      <c r="J16" s="19">
        <v>1210130535.9500003</v>
      </c>
      <c r="K16" s="19">
        <v>2868208210.6899996</v>
      </c>
      <c r="L16" s="19">
        <v>311517419.69</v>
      </c>
      <c r="M16" s="19">
        <v>10380177759.32</v>
      </c>
      <c r="N16" s="19">
        <v>836476279.13999999</v>
      </c>
      <c r="O16" s="19">
        <v>3236322435.4200001</v>
      </c>
      <c r="P16" s="19">
        <v>240545995.32999998</v>
      </c>
      <c r="Q16" s="19">
        <v>28053355.52</v>
      </c>
      <c r="R16" s="19">
        <v>289054689.19000006</v>
      </c>
      <c r="S16" s="19">
        <v>381531049.95999998</v>
      </c>
      <c r="T16" s="19">
        <v>1065576893.3199998</v>
      </c>
      <c r="U16" s="19">
        <v>58038652.400000006</v>
      </c>
      <c r="V16" s="19">
        <v>579864526.45000005</v>
      </c>
      <c r="W16" s="19">
        <v>157239965.37</v>
      </c>
      <c r="X16" s="19">
        <v>1023701630.7099998</v>
      </c>
      <c r="Y16" s="19">
        <v>441576220.88999993</v>
      </c>
      <c r="Z16" s="19">
        <v>170208972.38</v>
      </c>
      <c r="AA16" s="19">
        <v>285183213.77999997</v>
      </c>
      <c r="AB16" s="19">
        <v>3925323053.6600003</v>
      </c>
      <c r="AC16" s="19">
        <f t="shared" si="7"/>
        <v>28504813674.959</v>
      </c>
      <c r="AD16" s="20"/>
      <c r="AE16" s="21"/>
      <c r="AF16" s="16"/>
    </row>
    <row r="17" spans="1:32" ht="19.5" customHeight="1" x14ac:dyDescent="0.3">
      <c r="A17" s="17" t="s">
        <v>13</v>
      </c>
      <c r="B17" s="18">
        <f>35240795.58+75600000</f>
        <v>110840795.58</v>
      </c>
      <c r="C17" s="18">
        <v>1288227.1399999999</v>
      </c>
      <c r="D17" s="18">
        <v>0</v>
      </c>
      <c r="E17" s="18">
        <v>0</v>
      </c>
      <c r="F17" s="18">
        <f>64900000+264500000</f>
        <v>329400000</v>
      </c>
      <c r="G17" s="18">
        <f>100000+66500000</f>
        <v>66600000</v>
      </c>
      <c r="H17" s="19">
        <f>3665000+14700000</f>
        <v>18365000</v>
      </c>
      <c r="I17" s="19">
        <v>4800000</v>
      </c>
      <c r="J17" s="19">
        <v>26645523.140000001</v>
      </c>
      <c r="K17" s="19">
        <v>135202181.31</v>
      </c>
      <c r="L17" s="19">
        <v>21291200</v>
      </c>
      <c r="M17" s="19">
        <v>1418685596.77</v>
      </c>
      <c r="N17" s="19">
        <v>3779836232.1399999</v>
      </c>
      <c r="O17" s="19">
        <v>3760739411.71</v>
      </c>
      <c r="P17" s="19">
        <v>1261424961.3699999</v>
      </c>
      <c r="Q17" s="19">
        <v>268015829.33000001</v>
      </c>
      <c r="R17" s="19">
        <v>69348010.659999996</v>
      </c>
      <c r="S17" s="19">
        <v>0</v>
      </c>
      <c r="T17" s="19">
        <v>4350000</v>
      </c>
      <c r="U17" s="19">
        <v>14425201000</v>
      </c>
      <c r="V17" s="19">
        <v>17023999.850000001</v>
      </c>
      <c r="W17" s="19">
        <v>10087999.98</v>
      </c>
      <c r="X17" s="19">
        <v>409457890.97999996</v>
      </c>
      <c r="Y17" s="19">
        <v>516233765.12</v>
      </c>
      <c r="Z17" s="19">
        <v>1512750334.8800001</v>
      </c>
      <c r="AA17" s="19">
        <v>640859670.41999996</v>
      </c>
      <c r="AB17" s="19">
        <v>2249468050.1399999</v>
      </c>
      <c r="AC17" s="19">
        <f t="shared" si="7"/>
        <v>31057915680.519997</v>
      </c>
      <c r="AD17" s="20"/>
      <c r="AE17" s="21"/>
      <c r="AF17" s="16"/>
    </row>
    <row r="18" spans="1:32" ht="19.5" customHeight="1" x14ac:dyDescent="0.3">
      <c r="A18" s="17" t="s">
        <v>14</v>
      </c>
      <c r="B18" s="18">
        <f>9661700000+1312100000</f>
        <v>10973800000</v>
      </c>
      <c r="C18" s="18">
        <f>10090367.85+5087100000+526000000</f>
        <v>5623190367.8500004</v>
      </c>
      <c r="D18" s="18">
        <f>356166264.31+3504400000+13838700000</f>
        <v>17699266264.310001</v>
      </c>
      <c r="E18" s="18">
        <f>143945173.28+3906500000+1040600000</f>
        <v>5091045173.2800007</v>
      </c>
      <c r="F18" s="18">
        <f>296095778.11+3409000000+2590800000</f>
        <v>6295895778.1100006</v>
      </c>
      <c r="G18" s="18">
        <f>1002300000+1100800000</f>
        <v>2103100000</v>
      </c>
      <c r="H18" s="19">
        <f>521400000+807900000</f>
        <v>1329300000</v>
      </c>
      <c r="I18" s="19">
        <v>23048498142.340042</v>
      </c>
      <c r="J18" s="19">
        <v>7775853444.7457647</v>
      </c>
      <c r="K18" s="19">
        <v>27586814497.064438</v>
      </c>
      <c r="L18" s="19">
        <v>14109415153.991032</v>
      </c>
      <c r="M18" s="19">
        <v>20141906670.819946</v>
      </c>
      <c r="N18" s="19">
        <v>40352585629.805473</v>
      </c>
      <c r="O18" s="19">
        <v>33624786884.645267</v>
      </c>
      <c r="P18" s="19">
        <v>49594188690.769997</v>
      </c>
      <c r="Q18" s="19">
        <v>43966410137.489998</v>
      </c>
      <c r="R18" s="19">
        <v>50591800552.180008</v>
      </c>
      <c r="S18" s="19">
        <v>30554554647.325405</v>
      </c>
      <c r="T18" s="19">
        <v>55168233362.290001</v>
      </c>
      <c r="U18" s="19">
        <v>25304976941.490002</v>
      </c>
      <c r="V18" s="19">
        <v>84265396922.220001</v>
      </c>
      <c r="W18" s="19">
        <v>73657252854.479996</v>
      </c>
      <c r="X18" s="19">
        <v>99756131961.459381</v>
      </c>
      <c r="Y18" s="19">
        <v>134725096390.24527</v>
      </c>
      <c r="Z18" s="19">
        <v>102171291170.22284</v>
      </c>
      <c r="AA18" s="19">
        <v>116041651325.96652</v>
      </c>
      <c r="AB18" s="19">
        <v>16537400015.347908</v>
      </c>
      <c r="AC18" s="19">
        <f t="shared" si="7"/>
        <v>1098089842978.4492</v>
      </c>
      <c r="AD18" s="20"/>
      <c r="AE18" s="21"/>
      <c r="AF18" s="16"/>
    </row>
    <row r="19" spans="1:32" ht="19.5" customHeight="1" x14ac:dyDescent="0.3">
      <c r="A19" s="17" t="s">
        <v>15</v>
      </c>
      <c r="B19" s="18">
        <v>174177465.88</v>
      </c>
      <c r="C19" s="18">
        <f>510085810.67+21300000</f>
        <v>531385810.67000002</v>
      </c>
      <c r="D19" s="18">
        <f>309726399.86+96100000</f>
        <v>405826399.86000001</v>
      </c>
      <c r="E19" s="18">
        <v>750625740.14999998</v>
      </c>
      <c r="F19" s="18">
        <v>498084469.63999999</v>
      </c>
      <c r="G19" s="18">
        <f>192385279.37+50000000</f>
        <v>242385279.37</v>
      </c>
      <c r="H19" s="19">
        <v>60149416.699999996</v>
      </c>
      <c r="I19" s="19">
        <v>72433018.829999998</v>
      </c>
      <c r="J19" s="19">
        <v>496562014.68999994</v>
      </c>
      <c r="K19" s="19">
        <v>420043924.13</v>
      </c>
      <c r="L19" s="19">
        <v>244596374.81999999</v>
      </c>
      <c r="M19" s="19">
        <v>444673440.63999999</v>
      </c>
      <c r="N19" s="19">
        <v>136589898</v>
      </c>
      <c r="O19" s="19">
        <v>1280942222.0699999</v>
      </c>
      <c r="P19" s="19">
        <v>147579581.27000001</v>
      </c>
      <c r="Q19" s="19">
        <v>583558018.71000004</v>
      </c>
      <c r="R19" s="19">
        <v>100376106.72</v>
      </c>
      <c r="S19" s="19">
        <v>35513449.259999998</v>
      </c>
      <c r="T19" s="19">
        <v>26495993.82</v>
      </c>
      <c r="U19" s="19">
        <v>22102054.34</v>
      </c>
      <c r="V19" s="19">
        <v>1128000000</v>
      </c>
      <c r="W19" s="19">
        <v>632000000</v>
      </c>
      <c r="X19" s="19">
        <v>24256555.449999999</v>
      </c>
      <c r="Y19" s="19">
        <v>224885999.34999999</v>
      </c>
      <c r="Z19" s="19">
        <v>962966920.83000004</v>
      </c>
      <c r="AA19" s="19">
        <v>186709862.37</v>
      </c>
      <c r="AB19" s="19">
        <v>141061803.09999999</v>
      </c>
      <c r="AC19" s="19">
        <f t="shared" si="7"/>
        <v>9973981820.670002</v>
      </c>
      <c r="AD19" s="20"/>
      <c r="AE19" s="21"/>
      <c r="AF19" s="16"/>
    </row>
    <row r="20" spans="1:32" ht="19.5" customHeight="1" x14ac:dyDescent="0.3">
      <c r="A20" s="17" t="s">
        <v>16</v>
      </c>
      <c r="B20" s="18">
        <v>9822932.7899999991</v>
      </c>
      <c r="C20" s="18">
        <v>75179957.530000001</v>
      </c>
      <c r="D20" s="18">
        <v>74066263.129999995</v>
      </c>
      <c r="E20" s="18">
        <v>145962156.36000001</v>
      </c>
      <c r="F20" s="18">
        <v>203589863.03</v>
      </c>
      <c r="G20" s="18">
        <v>487619047.7606256</v>
      </c>
      <c r="H20" s="19">
        <v>389916514.70999992</v>
      </c>
      <c r="I20" s="19">
        <v>478109109.56</v>
      </c>
      <c r="J20" s="19">
        <v>288859817.14999998</v>
      </c>
      <c r="K20" s="19">
        <v>34060922.959999993</v>
      </c>
      <c r="L20" s="19">
        <v>175426759.54999998</v>
      </c>
      <c r="M20" s="19">
        <v>159351464.87</v>
      </c>
      <c r="N20" s="19">
        <v>26762881.889999997</v>
      </c>
      <c r="O20" s="19">
        <v>1156487.44</v>
      </c>
      <c r="P20" s="19">
        <v>1072000000</v>
      </c>
      <c r="Q20" s="19">
        <v>0</v>
      </c>
      <c r="R20" s="19">
        <v>4000000</v>
      </c>
      <c r="S20" s="19">
        <v>0</v>
      </c>
      <c r="T20" s="19">
        <v>0</v>
      </c>
      <c r="U20" s="19">
        <v>88100000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f t="shared" si="7"/>
        <v>3713984178.7306256</v>
      </c>
      <c r="AD20" s="20"/>
      <c r="AE20" s="21"/>
      <c r="AF20" s="16"/>
    </row>
    <row r="21" spans="1:32" ht="19.5" customHeight="1" x14ac:dyDescent="0.3">
      <c r="A21" s="17" t="s">
        <v>17</v>
      </c>
      <c r="B21" s="18">
        <v>228638056.28999999</v>
      </c>
      <c r="C21" s="18">
        <v>33224152.969999999</v>
      </c>
      <c r="D21" s="18">
        <f>153476494.4+90900000</f>
        <v>244376494.40000001</v>
      </c>
      <c r="E21" s="18">
        <v>84337194.689999998</v>
      </c>
      <c r="F21" s="18">
        <v>104648261.69</v>
      </c>
      <c r="G21" s="18">
        <v>76923643.950000003</v>
      </c>
      <c r="H21" s="19">
        <f>575000000+127000000</f>
        <v>702000000</v>
      </c>
      <c r="I21" s="19">
        <v>272000000</v>
      </c>
      <c r="J21" s="19">
        <v>579800000</v>
      </c>
      <c r="K21" s="19">
        <v>556756539.9599998</v>
      </c>
      <c r="L21" s="19">
        <v>283148991.86000001</v>
      </c>
      <c r="M21" s="19">
        <v>40919311.700000003</v>
      </c>
      <c r="N21" s="19">
        <v>492496670.05000001</v>
      </c>
      <c r="O21" s="19">
        <v>890000000</v>
      </c>
      <c r="P21" s="19">
        <v>291554683.73000002</v>
      </c>
      <c r="Q21" s="19">
        <v>0</v>
      </c>
      <c r="R21" s="19">
        <v>0</v>
      </c>
      <c r="S21" s="19">
        <v>50980999.439999998</v>
      </c>
      <c r="T21" s="19">
        <v>0</v>
      </c>
      <c r="U21" s="19">
        <v>0</v>
      </c>
      <c r="V21" s="19">
        <v>0</v>
      </c>
      <c r="W21" s="19">
        <v>0</v>
      </c>
      <c r="X21" s="19">
        <v>19773999.579999998</v>
      </c>
      <c r="Y21" s="19">
        <v>102206997.08</v>
      </c>
      <c r="Z21" s="19">
        <v>0</v>
      </c>
      <c r="AA21" s="19">
        <v>0</v>
      </c>
      <c r="AB21" s="19">
        <v>0</v>
      </c>
      <c r="AC21" s="19">
        <f t="shared" si="7"/>
        <v>5053785997.3899984</v>
      </c>
      <c r="AD21" s="20"/>
      <c r="AE21" s="21"/>
      <c r="AF21" s="16"/>
    </row>
    <row r="22" spans="1:32" ht="19.5" customHeight="1" x14ac:dyDescent="0.3">
      <c r="A22" s="17" t="s">
        <v>18</v>
      </c>
      <c r="B22" s="18">
        <v>129374920.29000001</v>
      </c>
      <c r="C22" s="18">
        <v>350314441.37</v>
      </c>
      <c r="D22" s="18">
        <v>445783981.72000003</v>
      </c>
      <c r="E22" s="18">
        <v>432169.03</v>
      </c>
      <c r="F22" s="18">
        <v>201104429</v>
      </c>
      <c r="G22" s="18">
        <v>11316863.99</v>
      </c>
      <c r="H22" s="19">
        <v>13920750</v>
      </c>
      <c r="I22" s="19">
        <v>27842147.41</v>
      </c>
      <c r="J22" s="19">
        <v>3999500</v>
      </c>
      <c r="K22" s="19">
        <v>6951237.0700000003</v>
      </c>
      <c r="L22" s="19">
        <v>24152922.969999999</v>
      </c>
      <c r="M22" s="19">
        <v>0</v>
      </c>
      <c r="N22" s="19">
        <v>847386755</v>
      </c>
      <c r="O22" s="19">
        <v>191017051.66</v>
      </c>
      <c r="P22" s="19">
        <v>495001166.26999998</v>
      </c>
      <c r="Q22" s="19">
        <v>940116838.36000013</v>
      </c>
      <c r="R22" s="19">
        <v>0</v>
      </c>
      <c r="S22" s="19">
        <v>19303598.850000001</v>
      </c>
      <c r="T22" s="19">
        <v>4010400</v>
      </c>
      <c r="U22" s="19">
        <v>0</v>
      </c>
      <c r="V22" s="19">
        <v>37708955.270000003</v>
      </c>
      <c r="W22" s="19">
        <v>0</v>
      </c>
      <c r="X22" s="19">
        <v>7145999.9500000002</v>
      </c>
      <c r="Y22" s="19">
        <v>149691594.28000003</v>
      </c>
      <c r="Z22" s="19">
        <v>0</v>
      </c>
      <c r="AA22" s="19">
        <v>7339334.7300000004</v>
      </c>
      <c r="AB22" s="19">
        <v>36818110.060000002</v>
      </c>
      <c r="AC22" s="19">
        <f t="shared" si="7"/>
        <v>3950733167.2800002</v>
      </c>
      <c r="AD22" s="20"/>
      <c r="AE22" s="21"/>
      <c r="AF22" s="16"/>
    </row>
    <row r="23" spans="1:32" ht="19.5" customHeight="1" x14ac:dyDescent="0.3">
      <c r="A23" s="17" t="s">
        <v>19</v>
      </c>
      <c r="B23" s="18">
        <f>92015300.17+148000000</f>
        <v>240015300.17000002</v>
      </c>
      <c r="C23" s="18">
        <f>440973737.35+134000000</f>
        <v>574973737.35000002</v>
      </c>
      <c r="D23" s="18">
        <f>366029659.62+103600000</f>
        <v>469629659.62</v>
      </c>
      <c r="E23" s="18">
        <f>332293167.63+94200000</f>
        <v>426493167.63</v>
      </c>
      <c r="F23" s="18">
        <f>526251894.9+84700000</f>
        <v>610951894.89999998</v>
      </c>
      <c r="G23" s="18">
        <f>836163571.99+48700000</f>
        <v>884863571.99000001</v>
      </c>
      <c r="H23" s="19">
        <f>974255648.571+13900000</f>
        <v>988155648.57099998</v>
      </c>
      <c r="I23" s="19">
        <v>805548901.3599999</v>
      </c>
      <c r="J23" s="19">
        <v>2930066757.7299995</v>
      </c>
      <c r="K23" s="19">
        <v>3266488358.8999996</v>
      </c>
      <c r="L23" s="19">
        <v>1276932731.6700001</v>
      </c>
      <c r="M23" s="19">
        <v>1351062192.76</v>
      </c>
      <c r="N23" s="19">
        <v>1695234924.7900002</v>
      </c>
      <c r="O23" s="19">
        <v>2747559388.0799999</v>
      </c>
      <c r="P23" s="19">
        <v>1629769654.6400001</v>
      </c>
      <c r="Q23" s="19">
        <v>881591068.47000003</v>
      </c>
      <c r="R23" s="19">
        <v>1375590356.6799998</v>
      </c>
      <c r="S23" s="19">
        <v>789702505.63</v>
      </c>
      <c r="T23" s="19">
        <v>272582345.70999998</v>
      </c>
      <c r="U23" s="19">
        <v>3593894118.3400002</v>
      </c>
      <c r="V23" s="19">
        <v>2976405764.2799997</v>
      </c>
      <c r="W23" s="19">
        <v>358788613.31999999</v>
      </c>
      <c r="X23" s="19">
        <v>100197996.49000001</v>
      </c>
      <c r="Y23" s="19">
        <v>1191972178.7700002</v>
      </c>
      <c r="Z23" s="19">
        <v>34318886.109999999</v>
      </c>
      <c r="AA23" s="19">
        <v>2826229556.4299998</v>
      </c>
      <c r="AB23" s="19">
        <v>0</v>
      </c>
      <c r="AC23" s="19">
        <f t="shared" si="7"/>
        <v>34299019280.391003</v>
      </c>
      <c r="AD23" s="20"/>
      <c r="AE23" s="21"/>
      <c r="AF23" s="16"/>
    </row>
    <row r="24" spans="1:32" ht="19.5" customHeight="1" x14ac:dyDescent="0.3">
      <c r="A24" s="22" t="s">
        <v>20</v>
      </c>
      <c r="B24" s="18">
        <f>1445642.07+3700000</f>
        <v>5145642.07</v>
      </c>
      <c r="C24" s="18">
        <f>123382230.23+5400000</f>
        <v>128782230.23</v>
      </c>
      <c r="D24" s="18">
        <f>148518937.91+1858300000+219800000</f>
        <v>2226618937.9099998</v>
      </c>
      <c r="E24" s="18">
        <f>72884956.17+341600000</f>
        <v>414484956.17000002</v>
      </c>
      <c r="F24" s="18">
        <f>636748819.64+1076400000</f>
        <v>1713148819.6399999</v>
      </c>
      <c r="G24" s="18">
        <f>666645163.04+277800000</f>
        <v>944445163.03999996</v>
      </c>
      <c r="H24" s="19">
        <f>597419941.1635+2110000000</f>
        <v>2707419941.1634998</v>
      </c>
      <c r="I24" s="19">
        <v>371501139.36000001</v>
      </c>
      <c r="J24" s="19">
        <v>222894011.24000001</v>
      </c>
      <c r="K24" s="19">
        <v>1285742199.408025</v>
      </c>
      <c r="L24" s="19">
        <v>1041707196.02</v>
      </c>
      <c r="M24" s="19">
        <v>153402764.44999999</v>
      </c>
      <c r="N24" s="19">
        <v>2136956602.5799999</v>
      </c>
      <c r="O24" s="19">
        <v>2920888852.1900001</v>
      </c>
      <c r="P24" s="19">
        <v>2731691831.2599998</v>
      </c>
      <c r="Q24" s="19">
        <v>210341358.18000001</v>
      </c>
      <c r="R24" s="19">
        <v>2047151548.8399999</v>
      </c>
      <c r="S24" s="19">
        <v>1580026598.2</v>
      </c>
      <c r="T24" s="19">
        <v>10196642036.85</v>
      </c>
      <c r="U24" s="19">
        <v>232434286</v>
      </c>
      <c r="V24" s="19">
        <v>2933417563.9200001</v>
      </c>
      <c r="W24" s="19">
        <v>2851245469.29</v>
      </c>
      <c r="X24" s="19">
        <v>298236289.12</v>
      </c>
      <c r="Y24" s="19">
        <v>311148921.63</v>
      </c>
      <c r="Z24" s="19">
        <v>0</v>
      </c>
      <c r="AA24" s="19">
        <v>0</v>
      </c>
      <c r="AB24" s="19">
        <v>0</v>
      </c>
      <c r="AC24" s="19">
        <f t="shared" si="7"/>
        <v>39665474358.761528</v>
      </c>
      <c r="AD24" s="20"/>
      <c r="AE24" s="21"/>
      <c r="AF24" s="16"/>
    </row>
    <row r="25" spans="1:32" ht="19.5" customHeight="1" x14ac:dyDescent="0.3">
      <c r="A25" s="22" t="s">
        <v>21</v>
      </c>
      <c r="B25" s="18">
        <v>343666.88</v>
      </c>
      <c r="C25" s="18">
        <v>80090916.310000002</v>
      </c>
      <c r="D25" s="18">
        <v>11113176.460000001</v>
      </c>
      <c r="E25" s="18">
        <v>152005772.06999999</v>
      </c>
      <c r="F25" s="18">
        <v>264349281.37</v>
      </c>
      <c r="G25" s="18">
        <f>476461050.33+21600000</f>
        <v>498061050.32999998</v>
      </c>
      <c r="H25" s="19">
        <f>37391588.9865+56900000</f>
        <v>94291588.986499995</v>
      </c>
      <c r="I25" s="19">
        <v>1911869506.23</v>
      </c>
      <c r="J25" s="19">
        <v>337267621.15999997</v>
      </c>
      <c r="K25" s="19">
        <v>732137234.9600004</v>
      </c>
      <c r="L25" s="19">
        <v>153283258.31</v>
      </c>
      <c r="M25" s="19">
        <v>1563599604.4299998</v>
      </c>
      <c r="N25" s="19">
        <v>66381816.689999998</v>
      </c>
      <c r="O25" s="19">
        <v>1096288503.1500001</v>
      </c>
      <c r="P25" s="19">
        <v>2526331413.6800003</v>
      </c>
      <c r="Q25" s="19">
        <v>792810399.19999993</v>
      </c>
      <c r="R25" s="19">
        <v>779655361.26999998</v>
      </c>
      <c r="S25" s="19">
        <v>215134427.38</v>
      </c>
      <c r="T25" s="19">
        <v>6031169644.5699997</v>
      </c>
      <c r="U25" s="19">
        <v>23051564.940000001</v>
      </c>
      <c r="V25" s="19">
        <v>2232499651.8400002</v>
      </c>
      <c r="W25" s="19">
        <v>25505179.190000001</v>
      </c>
      <c r="X25" s="19">
        <v>710137076.5</v>
      </c>
      <c r="Y25" s="19">
        <v>265944766.28</v>
      </c>
      <c r="Z25" s="19">
        <v>6621577.459999999</v>
      </c>
      <c r="AA25" s="19">
        <v>483679222.53000003</v>
      </c>
      <c r="AB25" s="19">
        <v>0</v>
      </c>
      <c r="AC25" s="19">
        <f t="shared" si="7"/>
        <v>21053623282.176495</v>
      </c>
      <c r="AD25" s="20"/>
      <c r="AE25" s="21"/>
      <c r="AF25" s="16"/>
    </row>
    <row r="26" spans="1:32" ht="19.5" customHeight="1" x14ac:dyDescent="0.3">
      <c r="A26" s="17" t="s">
        <v>22</v>
      </c>
      <c r="B26" s="18">
        <v>1089818.53</v>
      </c>
      <c r="C26" s="18">
        <v>4508743.57</v>
      </c>
      <c r="D26" s="18">
        <v>83573332</v>
      </c>
      <c r="E26" s="18">
        <v>83990403.019999996</v>
      </c>
      <c r="F26" s="18">
        <v>146518258.63</v>
      </c>
      <c r="G26" s="18">
        <v>105598656.71000001</v>
      </c>
      <c r="H26" s="19">
        <v>4120412</v>
      </c>
      <c r="I26" s="19">
        <v>15000000</v>
      </c>
      <c r="J26" s="19">
        <v>27000000</v>
      </c>
      <c r="K26" s="19">
        <v>500000</v>
      </c>
      <c r="L26" s="19">
        <v>189075604.17000002</v>
      </c>
      <c r="M26" s="19">
        <v>94367260.769999996</v>
      </c>
      <c r="N26" s="19">
        <v>220195401.84</v>
      </c>
      <c r="O26" s="19">
        <v>2184411546.6300001</v>
      </c>
      <c r="P26" s="19">
        <v>153077651.12</v>
      </c>
      <c r="Q26" s="19">
        <v>0</v>
      </c>
      <c r="R26" s="19">
        <v>169488991.41</v>
      </c>
      <c r="S26" s="19">
        <v>103661067.44</v>
      </c>
      <c r="T26" s="19">
        <v>1526097330.9199998</v>
      </c>
      <c r="U26" s="19">
        <v>197618357</v>
      </c>
      <c r="V26" s="19">
        <v>0</v>
      </c>
      <c r="W26" s="19">
        <v>6412002544.5100002</v>
      </c>
      <c r="X26" s="19">
        <v>23460999.829999998</v>
      </c>
      <c r="Y26" s="19">
        <v>77348999.299999997</v>
      </c>
      <c r="Z26" s="19">
        <v>0</v>
      </c>
      <c r="AA26" s="19">
        <v>0</v>
      </c>
      <c r="AB26" s="19">
        <v>0</v>
      </c>
      <c r="AC26" s="19">
        <f t="shared" si="7"/>
        <v>11822705379.4</v>
      </c>
      <c r="AD26" s="20"/>
      <c r="AE26" s="21"/>
      <c r="AF26" s="16"/>
    </row>
    <row r="27" spans="1:32" ht="19.5" customHeight="1" x14ac:dyDescent="0.3">
      <c r="A27" s="17" t="s">
        <v>23</v>
      </c>
      <c r="B27" s="18">
        <v>17764466.690000001</v>
      </c>
      <c r="C27" s="18">
        <v>23655042.640000001</v>
      </c>
      <c r="D27" s="18">
        <v>24390303.449999999</v>
      </c>
      <c r="E27" s="18">
        <v>6724966.1399999997</v>
      </c>
      <c r="F27" s="18">
        <f>119041557.08+100000000</f>
        <v>219041557.07999998</v>
      </c>
      <c r="G27" s="18">
        <f>53783579.47+38500000</f>
        <v>92283579.469999999</v>
      </c>
      <c r="H27" s="19">
        <f>81646727.287+167000000</f>
        <v>248646727.287</v>
      </c>
      <c r="I27" s="19">
        <v>61537303.510000005</v>
      </c>
      <c r="J27" s="19">
        <v>43372283.179999992</v>
      </c>
      <c r="K27" s="19">
        <v>149068514</v>
      </c>
      <c r="L27" s="19">
        <v>686294980.75999999</v>
      </c>
      <c r="M27" s="19">
        <v>274918333.36000001</v>
      </c>
      <c r="N27" s="19">
        <v>314282096.13000005</v>
      </c>
      <c r="O27" s="19">
        <v>3987000</v>
      </c>
      <c r="P27" s="19">
        <v>2585658526.3699999</v>
      </c>
      <c r="Q27" s="19">
        <v>19768723.969999999</v>
      </c>
      <c r="R27" s="19">
        <v>21320270.529999997</v>
      </c>
      <c r="S27" s="19">
        <v>36824663.57</v>
      </c>
      <c r="T27" s="19">
        <v>4269621703.1500001</v>
      </c>
      <c r="U27" s="19">
        <v>786962651.85000002</v>
      </c>
      <c r="V27" s="19">
        <v>172075306.97</v>
      </c>
      <c r="W27" s="19">
        <v>54216301.670000002</v>
      </c>
      <c r="X27" s="19">
        <v>76396933</v>
      </c>
      <c r="Y27" s="19">
        <v>0</v>
      </c>
      <c r="Z27" s="19">
        <v>8017515.8099999996</v>
      </c>
      <c r="AA27" s="19">
        <v>0</v>
      </c>
      <c r="AB27" s="19">
        <v>0</v>
      </c>
      <c r="AC27" s="19">
        <f t="shared" si="7"/>
        <v>10196829750.586998</v>
      </c>
      <c r="AD27" s="20"/>
      <c r="AE27" s="21"/>
      <c r="AF27" s="16"/>
    </row>
    <row r="28" spans="1:32" ht="19.5" customHeight="1" x14ac:dyDescent="0.3">
      <c r="A28" s="22" t="s">
        <v>24</v>
      </c>
      <c r="B28" s="18">
        <v>107048172.77</v>
      </c>
      <c r="C28" s="18">
        <v>76273564.569999993</v>
      </c>
      <c r="D28" s="18">
        <v>167265711.19999999</v>
      </c>
      <c r="E28" s="18">
        <v>242610651.78</v>
      </c>
      <c r="F28" s="18">
        <v>700329609.01999998</v>
      </c>
      <c r="G28" s="18">
        <f>393745221.69+31600000</f>
        <v>425345221.69</v>
      </c>
      <c r="H28" s="19">
        <v>39553534.860000007</v>
      </c>
      <c r="I28" s="19">
        <v>39637956.489999995</v>
      </c>
      <c r="J28" s="19">
        <v>150394877.31</v>
      </c>
      <c r="K28" s="19">
        <v>1655449536.4400001</v>
      </c>
      <c r="L28" s="19">
        <v>2415006382.8800001</v>
      </c>
      <c r="M28" s="19">
        <v>3054160627.7200003</v>
      </c>
      <c r="N28" s="19">
        <v>4031160299.9199996</v>
      </c>
      <c r="O28" s="19">
        <v>1499477321.3999999</v>
      </c>
      <c r="P28" s="19">
        <v>61282580.620000005</v>
      </c>
      <c r="Q28" s="19">
        <v>0</v>
      </c>
      <c r="R28" s="19">
        <v>3100444714.1700001</v>
      </c>
      <c r="S28" s="19">
        <v>4477425635.3899994</v>
      </c>
      <c r="T28" s="19">
        <v>35600000</v>
      </c>
      <c r="U28" s="19">
        <v>0</v>
      </c>
      <c r="V28" s="19">
        <v>4008448883.0199995</v>
      </c>
      <c r="W28" s="19">
        <v>1325564746.52</v>
      </c>
      <c r="X28" s="19">
        <v>3966881463.77</v>
      </c>
      <c r="Y28" s="19">
        <v>8139615066.4300003</v>
      </c>
      <c r="Z28" s="19">
        <v>57485584.459999993</v>
      </c>
      <c r="AA28" s="19">
        <v>8395865267.8899994</v>
      </c>
      <c r="AB28" s="19">
        <v>11000000</v>
      </c>
      <c r="AC28" s="19">
        <f t="shared" si="7"/>
        <v>48183327410.32</v>
      </c>
      <c r="AD28" s="20"/>
      <c r="AE28" s="21"/>
      <c r="AF28" s="16"/>
    </row>
    <row r="29" spans="1:32" ht="19.5" customHeight="1" x14ac:dyDescent="0.3">
      <c r="A29" s="17" t="s">
        <v>25</v>
      </c>
      <c r="B29" s="18">
        <v>0</v>
      </c>
      <c r="C29" s="18">
        <v>30906301.960000001</v>
      </c>
      <c r="D29" s="18">
        <v>201498000</v>
      </c>
      <c r="E29" s="18">
        <f>99248000+98000000</f>
        <v>197248000</v>
      </c>
      <c r="F29" s="18">
        <f>34436842.5+214800000</f>
        <v>249236842.5</v>
      </c>
      <c r="G29" s="18">
        <f>53946238.34+87700000</f>
        <v>141646238.34</v>
      </c>
      <c r="H29" s="19">
        <f>1092826671.25+76200000</f>
        <v>1169026671.25</v>
      </c>
      <c r="I29" s="19">
        <v>3617000</v>
      </c>
      <c r="J29" s="19">
        <v>291141818.38999999</v>
      </c>
      <c r="K29" s="19">
        <v>228977696.31</v>
      </c>
      <c r="L29" s="19">
        <v>42665654.320000008</v>
      </c>
      <c r="M29" s="19">
        <v>1083516009.5</v>
      </c>
      <c r="N29" s="19">
        <v>1876334677.8000002</v>
      </c>
      <c r="O29" s="19">
        <v>1672057515.6800001</v>
      </c>
      <c r="P29" s="19">
        <v>697850613.16000009</v>
      </c>
      <c r="Q29" s="19">
        <v>434148167.74000001</v>
      </c>
      <c r="R29" s="19">
        <v>55352655.280000001</v>
      </c>
      <c r="S29" s="19">
        <v>128341853.06999999</v>
      </c>
      <c r="T29" s="19">
        <v>8559958699.8100014</v>
      </c>
      <c r="U29" s="19">
        <v>3812092673.7699995</v>
      </c>
      <c r="V29" s="19">
        <v>8207896902.8999996</v>
      </c>
      <c r="W29" s="19">
        <v>711045007.03999996</v>
      </c>
      <c r="X29" s="19">
        <v>1350651776.6600001</v>
      </c>
      <c r="Y29" s="19">
        <v>50856667.939999998</v>
      </c>
      <c r="Z29" s="19">
        <v>228238293.40000001</v>
      </c>
      <c r="AA29" s="19">
        <v>164284204.57000002</v>
      </c>
      <c r="AB29" s="19">
        <v>36672170.43</v>
      </c>
      <c r="AC29" s="19">
        <f t="shared" si="7"/>
        <v>31625262111.82</v>
      </c>
      <c r="AD29" s="20"/>
      <c r="AE29" s="21"/>
      <c r="AF29" s="16"/>
    </row>
    <row r="30" spans="1:32" ht="19.5" customHeight="1" x14ac:dyDescent="0.3">
      <c r="A30" s="17" t="s">
        <v>26</v>
      </c>
      <c r="B30" s="18">
        <f>156595529.8+91000000</f>
        <v>247595529.80000001</v>
      </c>
      <c r="C30" s="18">
        <f>185101967.9+127100000</f>
        <v>312201967.89999998</v>
      </c>
      <c r="D30" s="18">
        <v>246662399.34</v>
      </c>
      <c r="E30" s="18">
        <v>551797240.41999996</v>
      </c>
      <c r="F30" s="18">
        <v>761495868.51999998</v>
      </c>
      <c r="G30" s="18">
        <f>238909958.05+415000000</f>
        <v>653909958.04999995</v>
      </c>
      <c r="H30" s="19">
        <f>97429714.805+275000000</f>
        <v>372429714.80500001</v>
      </c>
      <c r="I30" s="19">
        <v>91967635.99000001</v>
      </c>
      <c r="J30" s="19">
        <v>1710279432.1899998</v>
      </c>
      <c r="K30" s="19">
        <v>288109359.12</v>
      </c>
      <c r="L30" s="19">
        <v>224979414.81</v>
      </c>
      <c r="M30" s="19">
        <v>171298341.94</v>
      </c>
      <c r="N30" s="19">
        <v>842166774.84000003</v>
      </c>
      <c r="O30" s="19">
        <v>181595920.86000001</v>
      </c>
      <c r="P30" s="19">
        <v>641264464.91000009</v>
      </c>
      <c r="Q30" s="19">
        <v>101623029.29999998</v>
      </c>
      <c r="R30" s="19">
        <v>71310471.25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251487998.22000003</v>
      </c>
      <c r="Y30" s="19">
        <v>45350999.519999996</v>
      </c>
      <c r="Z30" s="19">
        <v>0</v>
      </c>
      <c r="AA30" s="19">
        <v>0</v>
      </c>
      <c r="AB30" s="19">
        <v>56739970.690000005</v>
      </c>
      <c r="AC30" s="19">
        <f t="shared" si="7"/>
        <v>7824266492.4749994</v>
      </c>
      <c r="AD30" s="20"/>
      <c r="AE30" s="21"/>
      <c r="AF30" s="16"/>
    </row>
    <row r="31" spans="1:32" ht="19.5" customHeight="1" x14ac:dyDescent="0.3">
      <c r="A31" s="22" t="s">
        <v>27</v>
      </c>
      <c r="B31" s="18">
        <v>7753925.1399999997</v>
      </c>
      <c r="C31" s="18">
        <v>11297947.26</v>
      </c>
      <c r="D31" s="18">
        <v>0</v>
      </c>
      <c r="E31" s="18">
        <v>0</v>
      </c>
      <c r="F31" s="18">
        <v>158354452.5</v>
      </c>
      <c r="G31" s="18">
        <v>173627001.55000001</v>
      </c>
      <c r="H31" s="19">
        <f>117700000+17000000</f>
        <v>134700000</v>
      </c>
      <c r="I31" s="19">
        <v>18000000</v>
      </c>
      <c r="J31" s="19">
        <v>24000000</v>
      </c>
      <c r="K31" s="19">
        <v>0</v>
      </c>
      <c r="L31" s="19">
        <v>0</v>
      </c>
      <c r="M31" s="19">
        <v>0</v>
      </c>
      <c r="N31" s="19">
        <v>0</v>
      </c>
      <c r="O31" s="19">
        <v>91900000</v>
      </c>
      <c r="P31" s="19">
        <v>237727168.75999999</v>
      </c>
      <c r="Q31" s="19">
        <v>5800000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f t="shared" si="7"/>
        <v>863160495.21000004</v>
      </c>
      <c r="AD31" s="20"/>
      <c r="AE31" s="21"/>
      <c r="AF31" s="16"/>
    </row>
    <row r="32" spans="1:32" ht="19.5" customHeight="1" x14ac:dyDescent="0.3">
      <c r="A32" s="17" t="s">
        <v>28</v>
      </c>
      <c r="B32" s="18">
        <v>8411521.3300000001</v>
      </c>
      <c r="C32" s="18">
        <v>111616264.75</v>
      </c>
      <c r="D32" s="18">
        <v>252664035.62</v>
      </c>
      <c r="E32" s="18">
        <f>97390000+154700000</f>
        <v>252090000</v>
      </c>
      <c r="F32" s="18">
        <f>167746351.49+58500000</f>
        <v>226246351.49000001</v>
      </c>
      <c r="G32" s="18">
        <f>270164981.59+129800000</f>
        <v>399964981.58999997</v>
      </c>
      <c r="H32" s="19">
        <f>130182459.081+27500000</f>
        <v>157682459.081</v>
      </c>
      <c r="I32" s="19">
        <v>31600000</v>
      </c>
      <c r="J32" s="19">
        <v>16786427.440000001</v>
      </c>
      <c r="K32" s="19">
        <v>194089411.79000002</v>
      </c>
      <c r="L32" s="19">
        <v>1142247414.6999998</v>
      </c>
      <c r="M32" s="19">
        <v>4077298458.4400005</v>
      </c>
      <c r="N32" s="19">
        <v>242762361</v>
      </c>
      <c r="O32" s="19">
        <v>20098829</v>
      </c>
      <c r="P32" s="19">
        <v>198111043.99000001</v>
      </c>
      <c r="Q32" s="19">
        <v>8955950.8099999987</v>
      </c>
      <c r="R32" s="19">
        <v>0</v>
      </c>
      <c r="S32" s="19">
        <v>2000000000</v>
      </c>
      <c r="T32" s="19">
        <v>643167826.63999999</v>
      </c>
      <c r="U32" s="19">
        <v>0</v>
      </c>
      <c r="V32" s="19">
        <v>5437793417.1499996</v>
      </c>
      <c r="W32" s="19">
        <v>644303706.59000003</v>
      </c>
      <c r="X32" s="19">
        <v>175696293.41000003</v>
      </c>
      <c r="Y32" s="19">
        <v>0</v>
      </c>
      <c r="Z32" s="19">
        <v>0</v>
      </c>
      <c r="AA32" s="19">
        <v>0</v>
      </c>
      <c r="AB32" s="19">
        <v>0</v>
      </c>
      <c r="AC32" s="19">
        <f t="shared" si="7"/>
        <v>16241586754.821001</v>
      </c>
      <c r="AD32" s="20"/>
      <c r="AE32" s="21"/>
      <c r="AF32" s="16"/>
    </row>
    <row r="33" spans="1:32" ht="19.5" customHeight="1" x14ac:dyDescent="0.3">
      <c r="A33" s="22" t="s">
        <v>29</v>
      </c>
      <c r="B33" s="18">
        <f>24714630.62+29400000</f>
        <v>54114630.620000005</v>
      </c>
      <c r="C33" s="18">
        <f>32948999.95+96600000</f>
        <v>129548999.95</v>
      </c>
      <c r="D33" s="18">
        <f>169582874.61+43800000</f>
        <v>213382874.61000001</v>
      </c>
      <c r="E33" s="18">
        <f>3800000+806600000</f>
        <v>810400000</v>
      </c>
      <c r="F33" s="18">
        <f>1966639.32+274400000</f>
        <v>276366639.31999999</v>
      </c>
      <c r="G33" s="18">
        <f>431361336.11+764600000</f>
        <v>1195961336.1100001</v>
      </c>
      <c r="H33" s="19">
        <f>22770125.008+95400000</f>
        <v>118170125.008</v>
      </c>
      <c r="I33" s="19">
        <v>74006951.930000007</v>
      </c>
      <c r="J33" s="19">
        <v>67367748.060000002</v>
      </c>
      <c r="K33" s="19">
        <v>173758507.53</v>
      </c>
      <c r="L33" s="19">
        <v>328270195.70999998</v>
      </c>
      <c r="M33" s="19">
        <v>8044358.2999999998</v>
      </c>
      <c r="N33" s="19">
        <v>191537834.94999999</v>
      </c>
      <c r="O33" s="19">
        <v>0</v>
      </c>
      <c r="P33" s="19">
        <v>0</v>
      </c>
      <c r="Q33" s="19">
        <v>5660999.5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158291909.63999999</v>
      </c>
      <c r="Y33" s="19">
        <v>254337011.97</v>
      </c>
      <c r="Z33" s="19">
        <v>0</v>
      </c>
      <c r="AA33" s="19">
        <v>0</v>
      </c>
      <c r="AB33" s="19">
        <v>0</v>
      </c>
      <c r="AC33" s="19">
        <f t="shared" si="7"/>
        <v>4059220123.2079997</v>
      </c>
      <c r="AD33" s="20"/>
      <c r="AE33" s="21"/>
      <c r="AF33" s="16"/>
    </row>
    <row r="34" spans="1:32" ht="19.5" customHeight="1" x14ac:dyDescent="0.3">
      <c r="A34" s="17" t="s">
        <v>30</v>
      </c>
      <c r="B34" s="18">
        <v>64066092.82</v>
      </c>
      <c r="C34" s="18">
        <f>38496334.48+50000000</f>
        <v>88496334.479999989</v>
      </c>
      <c r="D34" s="18">
        <f>75910278.3+2000000</f>
        <v>77910278.299999997</v>
      </c>
      <c r="E34" s="18">
        <f>78622819.01+796100000</f>
        <v>874722819.00999999</v>
      </c>
      <c r="F34" s="18">
        <v>211213916.84999999</v>
      </c>
      <c r="G34" s="18">
        <f>60247604.03+40500000</f>
        <v>100747604.03</v>
      </c>
      <c r="H34" s="19">
        <v>85297853.761500001</v>
      </c>
      <c r="I34" s="19">
        <v>538332650.57000005</v>
      </c>
      <c r="J34" s="19">
        <v>0</v>
      </c>
      <c r="K34" s="19">
        <v>96732446</v>
      </c>
      <c r="L34" s="19">
        <v>53842131.219999999</v>
      </c>
      <c r="M34" s="19">
        <v>62490530.349999994</v>
      </c>
      <c r="N34" s="19">
        <v>144227958.41999999</v>
      </c>
      <c r="O34" s="19">
        <v>577433798.00999999</v>
      </c>
      <c r="P34" s="19">
        <v>224793298.19</v>
      </c>
      <c r="Q34" s="19">
        <v>32111748.380000003</v>
      </c>
      <c r="R34" s="19">
        <v>4243195.22</v>
      </c>
      <c r="S34" s="19">
        <v>429685192.94999999</v>
      </c>
      <c r="T34" s="19">
        <v>55000000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f t="shared" si="7"/>
        <v>3721347848.5614996</v>
      </c>
      <c r="AD34" s="20"/>
      <c r="AE34" s="21"/>
      <c r="AF34" s="16"/>
    </row>
    <row r="35" spans="1:32" ht="19.5" customHeight="1" x14ac:dyDescent="0.3">
      <c r="A35" s="17" t="s">
        <v>31</v>
      </c>
      <c r="B35" s="18">
        <f>158245942.72+86400000</f>
        <v>244645942.72</v>
      </c>
      <c r="C35" s="18">
        <f>149673667.43+61500000</f>
        <v>211173667.43000001</v>
      </c>
      <c r="D35" s="18">
        <f>173549118.1+69900000</f>
        <v>243449118.09999999</v>
      </c>
      <c r="E35" s="18">
        <f>206360925.66+80400000+69900000</f>
        <v>356660925.65999997</v>
      </c>
      <c r="F35" s="18">
        <v>13873342.119999999</v>
      </c>
      <c r="G35" s="18">
        <v>65396633.000000007</v>
      </c>
      <c r="H35" s="19">
        <v>94739702.230499983</v>
      </c>
      <c r="I35" s="19">
        <v>28699864.77</v>
      </c>
      <c r="J35" s="19">
        <v>62423929.609999999</v>
      </c>
      <c r="K35" s="19">
        <v>10320102.890000001</v>
      </c>
      <c r="L35" s="19">
        <v>1498334859.98</v>
      </c>
      <c r="M35" s="19">
        <v>25533048.66</v>
      </c>
      <c r="N35" s="19">
        <v>544625737.60000002</v>
      </c>
      <c r="O35" s="19">
        <v>15603887.65</v>
      </c>
      <c r="P35" s="19">
        <v>3322591025.3800001</v>
      </c>
      <c r="Q35" s="19">
        <v>0</v>
      </c>
      <c r="R35" s="19">
        <v>42025997.82</v>
      </c>
      <c r="S35" s="19">
        <v>29210531.68</v>
      </c>
      <c r="T35" s="19">
        <v>12548420413.27</v>
      </c>
      <c r="U35" s="19">
        <v>0</v>
      </c>
      <c r="V35" s="19">
        <v>51008290.390000001</v>
      </c>
      <c r="W35" s="19">
        <v>24135815.16</v>
      </c>
      <c r="X35" s="19">
        <v>1349930637.5399997</v>
      </c>
      <c r="Y35" s="19">
        <v>14121549154.289999</v>
      </c>
      <c r="Z35" s="19">
        <v>254702154.42000002</v>
      </c>
      <c r="AA35" s="19">
        <v>259258922.75</v>
      </c>
      <c r="AB35" s="19">
        <v>154137283.84000003</v>
      </c>
      <c r="AC35" s="19">
        <f t="shared" si="7"/>
        <v>35572450988.960495</v>
      </c>
      <c r="AD35" s="20"/>
      <c r="AE35" s="21"/>
      <c r="AF35" s="16"/>
    </row>
    <row r="36" spans="1:32" ht="19.5" customHeight="1" x14ac:dyDescent="0.3">
      <c r="A36" s="17" t="s">
        <v>32</v>
      </c>
      <c r="B36" s="18">
        <v>15798083.369999999</v>
      </c>
      <c r="C36" s="18">
        <v>0</v>
      </c>
      <c r="D36" s="18">
        <v>0</v>
      </c>
      <c r="E36" s="18">
        <v>0</v>
      </c>
      <c r="F36" s="18">
        <v>0</v>
      </c>
      <c r="G36" s="18">
        <v>95613868.170000002</v>
      </c>
      <c r="H36" s="19">
        <v>134147569.82999995</v>
      </c>
      <c r="I36" s="19">
        <v>0</v>
      </c>
      <c r="J36" s="19">
        <v>54797000</v>
      </c>
      <c r="K36" s="19">
        <v>0</v>
      </c>
      <c r="L36" s="19">
        <v>329448998.74000001</v>
      </c>
      <c r="M36" s="19">
        <v>1070425009.4400001</v>
      </c>
      <c r="N36" s="19">
        <v>1186205655</v>
      </c>
      <c r="O36" s="19">
        <v>0</v>
      </c>
      <c r="P36" s="19">
        <v>0</v>
      </c>
      <c r="Q36" s="19">
        <v>3352724.88</v>
      </c>
      <c r="R36" s="19">
        <v>54978997.839999996</v>
      </c>
      <c r="S36" s="19">
        <v>0</v>
      </c>
      <c r="T36" s="19">
        <v>86603598.879999995</v>
      </c>
      <c r="U36" s="19">
        <v>28947127.370000001</v>
      </c>
      <c r="V36" s="19">
        <v>70245895.710000008</v>
      </c>
      <c r="W36" s="19">
        <v>43451676.989999995</v>
      </c>
      <c r="X36" s="19">
        <v>0</v>
      </c>
      <c r="Y36" s="19">
        <v>0</v>
      </c>
      <c r="Z36" s="19">
        <v>0</v>
      </c>
      <c r="AA36" s="19">
        <v>307154244.65999997</v>
      </c>
      <c r="AB36" s="19">
        <v>449329749.70999998</v>
      </c>
      <c r="AC36" s="19">
        <f t="shared" si="7"/>
        <v>3930500200.5900002</v>
      </c>
      <c r="AD36" s="20"/>
      <c r="AE36" s="21"/>
      <c r="AF36" s="16"/>
    </row>
    <row r="37" spans="1:32" ht="19.5" customHeight="1" x14ac:dyDescent="0.3">
      <c r="A37" s="17" t="s">
        <v>33</v>
      </c>
      <c r="B37" s="18">
        <v>624607903.40999997</v>
      </c>
      <c r="C37" s="18">
        <v>559598960.91999996</v>
      </c>
      <c r="D37" s="18">
        <v>245796289.59</v>
      </c>
      <c r="E37" s="18">
        <v>341004865.22000003</v>
      </c>
      <c r="F37" s="18">
        <f>125612581.42+93400000</f>
        <v>219012581.42000002</v>
      </c>
      <c r="G37" s="18">
        <f>105395868.9+12100000</f>
        <v>117495868.90000001</v>
      </c>
      <c r="H37" s="19">
        <f>56825924.2325+13600000</f>
        <v>70425924.232500002</v>
      </c>
      <c r="I37" s="19">
        <v>39798049.75</v>
      </c>
      <c r="J37" s="19">
        <v>256450000</v>
      </c>
      <c r="K37" s="19">
        <v>9924671.7400000002</v>
      </c>
      <c r="L37" s="19">
        <v>0</v>
      </c>
      <c r="M37" s="19">
        <v>134627521.46000001</v>
      </c>
      <c r="N37" s="19">
        <v>209043741</v>
      </c>
      <c r="O37" s="19">
        <v>7600640</v>
      </c>
      <c r="P37" s="19">
        <v>602552374.03999996</v>
      </c>
      <c r="Q37" s="19">
        <v>294599648.13</v>
      </c>
      <c r="R37" s="19">
        <v>162319202.49000001</v>
      </c>
      <c r="S37" s="19">
        <v>0</v>
      </c>
      <c r="T37" s="19">
        <v>0</v>
      </c>
      <c r="U37" s="19">
        <v>0</v>
      </c>
      <c r="V37" s="19">
        <v>0</v>
      </c>
      <c r="W37" s="19">
        <v>99999999.969999999</v>
      </c>
      <c r="X37" s="19">
        <v>0</v>
      </c>
      <c r="Y37" s="19">
        <v>0</v>
      </c>
      <c r="Z37" s="19">
        <v>0</v>
      </c>
      <c r="AA37" s="19">
        <v>0</v>
      </c>
      <c r="AB37" s="19">
        <v>72700000</v>
      </c>
      <c r="AC37" s="19">
        <f t="shared" si="7"/>
        <v>4067558242.2724996</v>
      </c>
      <c r="AD37" s="20"/>
      <c r="AE37" s="21"/>
      <c r="AF37" s="16"/>
    </row>
    <row r="38" spans="1:32" ht="19.5" customHeight="1" x14ac:dyDescent="0.3">
      <c r="A38" s="17" t="s">
        <v>34</v>
      </c>
      <c r="B38" s="18">
        <v>1921183.16</v>
      </c>
      <c r="C38" s="18">
        <v>1234289.3999999999</v>
      </c>
      <c r="D38" s="18">
        <v>0</v>
      </c>
      <c r="E38" s="18">
        <v>0</v>
      </c>
      <c r="F38" s="18">
        <v>0</v>
      </c>
      <c r="G38" s="18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52829995.740000002</v>
      </c>
      <c r="N38" s="19">
        <v>28595591.439999998</v>
      </c>
      <c r="O38" s="19">
        <v>0</v>
      </c>
      <c r="P38" s="19">
        <v>0</v>
      </c>
      <c r="Q38" s="19">
        <v>22103084.890000001</v>
      </c>
      <c r="R38" s="19">
        <v>0</v>
      </c>
      <c r="S38" s="19">
        <v>0</v>
      </c>
      <c r="T38" s="19">
        <v>43772111.25</v>
      </c>
      <c r="U38" s="19">
        <v>32000000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f t="shared" si="7"/>
        <v>182456255.88</v>
      </c>
      <c r="AD38" s="20"/>
      <c r="AE38" s="21"/>
      <c r="AF38" s="16"/>
    </row>
    <row r="39" spans="1:32" ht="19.5" customHeight="1" x14ac:dyDescent="0.3">
      <c r="A39" s="17" t="s">
        <v>35</v>
      </c>
      <c r="B39" s="18">
        <v>32722367.859999999</v>
      </c>
      <c r="C39" s="18">
        <v>1038697783.8200001</v>
      </c>
      <c r="D39" s="18">
        <f>2689296974.27+76000000</f>
        <v>2765296974.27</v>
      </c>
      <c r="E39" s="18">
        <v>52806983.960000001</v>
      </c>
      <c r="F39" s="18">
        <f>29471969.45+46000000</f>
        <v>75471969.450000003</v>
      </c>
      <c r="G39" s="18">
        <f>184088037.72+22000000</f>
        <v>206088037.72</v>
      </c>
      <c r="H39" s="19">
        <v>386338107.16650003</v>
      </c>
      <c r="I39" s="19">
        <v>480386527.78000003</v>
      </c>
      <c r="J39" s="19">
        <v>1011697787.26</v>
      </c>
      <c r="K39" s="19">
        <v>653698963.03999996</v>
      </c>
      <c r="L39" s="19">
        <v>361721726.80999994</v>
      </c>
      <c r="M39" s="19">
        <v>6816449141.8899994</v>
      </c>
      <c r="N39" s="19">
        <v>4636132177.1199999</v>
      </c>
      <c r="O39" s="19">
        <v>1748184687.6499999</v>
      </c>
      <c r="P39" s="19">
        <v>1218326966.3799999</v>
      </c>
      <c r="Q39" s="19">
        <v>5139795328.2000008</v>
      </c>
      <c r="R39" s="19">
        <v>178262981.18000001</v>
      </c>
      <c r="S39" s="19">
        <v>17293453776.169998</v>
      </c>
      <c r="T39" s="19">
        <v>2745820.32</v>
      </c>
      <c r="U39" s="19">
        <v>5400717270.5</v>
      </c>
      <c r="V39" s="19">
        <v>3386691602.3500004</v>
      </c>
      <c r="W39" s="19">
        <v>1438045493.1900001</v>
      </c>
      <c r="X39" s="19">
        <v>790909923.47000003</v>
      </c>
      <c r="Y39" s="19">
        <v>196695926.97999999</v>
      </c>
      <c r="Z39" s="19">
        <v>64891191.61999999</v>
      </c>
      <c r="AA39" s="19">
        <v>0</v>
      </c>
      <c r="AB39" s="19">
        <v>0</v>
      </c>
      <c r="AC39" s="19">
        <f t="shared" si="7"/>
        <v>55376229516.156509</v>
      </c>
      <c r="AD39" s="20"/>
      <c r="AE39" s="21"/>
      <c r="AF39" s="16"/>
    </row>
    <row r="40" spans="1:32" ht="19.5" customHeight="1" x14ac:dyDescent="0.3">
      <c r="A40" s="22" t="s">
        <v>36</v>
      </c>
      <c r="B40" s="18">
        <v>73492143.840000004</v>
      </c>
      <c r="C40" s="18">
        <v>10851691.83</v>
      </c>
      <c r="D40" s="18">
        <f>41187039.11+174300000</f>
        <v>215487039.11000001</v>
      </c>
      <c r="E40" s="18">
        <v>36673415.57</v>
      </c>
      <c r="F40" s="18">
        <v>3203665.3</v>
      </c>
      <c r="G40" s="18">
        <v>17988880.600000001</v>
      </c>
      <c r="H40" s="19">
        <v>40920185.103</v>
      </c>
      <c r="I40" s="19">
        <v>1300000</v>
      </c>
      <c r="J40" s="19">
        <v>11600000</v>
      </c>
      <c r="K40" s="19">
        <v>99700000</v>
      </c>
      <c r="L40" s="19">
        <v>11695504.229999999</v>
      </c>
      <c r="M40" s="19">
        <v>651697107.69000006</v>
      </c>
      <c r="N40" s="19">
        <v>0</v>
      </c>
      <c r="O40" s="19">
        <v>1867178814.95</v>
      </c>
      <c r="P40" s="19">
        <v>7025152</v>
      </c>
      <c r="Q40" s="19">
        <v>0</v>
      </c>
      <c r="R40" s="19">
        <v>0</v>
      </c>
      <c r="S40" s="19">
        <v>487200000</v>
      </c>
      <c r="T40" s="19">
        <v>0</v>
      </c>
      <c r="U40" s="19">
        <v>0</v>
      </c>
      <c r="V40" s="19">
        <v>1030144710.62</v>
      </c>
      <c r="W40" s="19">
        <v>0</v>
      </c>
      <c r="X40" s="19">
        <v>14145083.01</v>
      </c>
      <c r="Y40" s="19">
        <v>17516463.059999999</v>
      </c>
      <c r="Z40" s="19">
        <v>0</v>
      </c>
      <c r="AA40" s="19">
        <v>0</v>
      </c>
      <c r="AB40" s="19">
        <v>152702261.71000007</v>
      </c>
      <c r="AC40" s="19">
        <f t="shared" si="7"/>
        <v>4750522118.6230011</v>
      </c>
      <c r="AD40" s="20"/>
      <c r="AE40" s="21"/>
      <c r="AF40" s="16"/>
    </row>
    <row r="41" spans="1:32" ht="19.5" customHeight="1" x14ac:dyDescent="0.3">
      <c r="A41" s="17" t="s">
        <v>37</v>
      </c>
      <c r="B41" s="18">
        <v>0</v>
      </c>
      <c r="C41" s="18"/>
      <c r="D41" s="18">
        <v>3649999.99</v>
      </c>
      <c r="E41" s="18">
        <v>30487235.359999999</v>
      </c>
      <c r="F41" s="18">
        <v>31658321.440000001</v>
      </c>
      <c r="G41" s="18">
        <v>27307971.669999998</v>
      </c>
      <c r="H41" s="19">
        <v>17986429.781000003</v>
      </c>
      <c r="I41" s="19">
        <v>39703970.999999993</v>
      </c>
      <c r="J41" s="19">
        <v>403077776.36000001</v>
      </c>
      <c r="K41" s="19">
        <v>19116558.859999999</v>
      </c>
      <c r="L41" s="19">
        <v>0</v>
      </c>
      <c r="M41" s="19">
        <v>0</v>
      </c>
      <c r="N41" s="19">
        <v>624318119.23000002</v>
      </c>
      <c r="O41" s="19">
        <v>453816955.90999997</v>
      </c>
      <c r="P41" s="19">
        <v>818552.57</v>
      </c>
      <c r="Q41" s="19">
        <v>174570557.13999999</v>
      </c>
      <c r="R41" s="19">
        <v>0</v>
      </c>
      <c r="S41" s="19">
        <v>2294059221.21</v>
      </c>
      <c r="T41" s="19">
        <v>45000000</v>
      </c>
      <c r="U41" s="19">
        <v>0</v>
      </c>
      <c r="V41" s="19">
        <v>169888144</v>
      </c>
      <c r="W41" s="19">
        <v>0</v>
      </c>
      <c r="X41" s="19">
        <v>0</v>
      </c>
      <c r="Y41" s="19">
        <v>2039520</v>
      </c>
      <c r="Z41" s="19">
        <v>0</v>
      </c>
      <c r="AA41" s="19">
        <v>0</v>
      </c>
      <c r="AB41" s="19">
        <v>0</v>
      </c>
      <c r="AC41" s="19">
        <f t="shared" si="7"/>
        <v>4337499334.5209999</v>
      </c>
      <c r="AD41" s="20"/>
      <c r="AE41" s="21"/>
      <c r="AF41" s="16"/>
    </row>
    <row r="42" spans="1:32" ht="18.75" customHeight="1" x14ac:dyDescent="0.3"/>
    <row r="44" spans="1:32" x14ac:dyDescent="0.3"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3"/>
    </row>
    <row r="45" spans="1:32" x14ac:dyDescent="0.3"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3"/>
    </row>
    <row r="46" spans="1:32" x14ac:dyDescent="0.3"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3"/>
    </row>
  </sheetData>
  <mergeCells count="6">
    <mergeCell ref="A7:A8"/>
    <mergeCell ref="AC7:AC8"/>
    <mergeCell ref="A1:AC1"/>
    <mergeCell ref="A2:AC2"/>
    <mergeCell ref="A4:AC4"/>
    <mergeCell ref="A6:AC6"/>
  </mergeCells>
  <phoneticPr fontId="0" type="noConversion"/>
  <printOptions horizontalCentered="1"/>
  <pageMargins left="0" right="0" top="0.39370078740157483" bottom="0.39370078740157483" header="0" footer="0"/>
  <pageSetup scale="71" orientation="landscape" verticalDpi="0" r:id="rId1"/>
  <headerFooter alignWithMargins="0">
    <oddFooter>&amp;L&amp;"Verdana,Normal"Fuente: GACEME y SOCRSP
&amp;C&amp;"Verdana,Normal"Página &amp;P de &amp;N&amp;R&amp;"Verdana,Normal"&amp;F &amp;A</oddFooter>
  </headerFooter>
  <rowBreaks count="1" manualBreakCount="1">
    <brk id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E42"/>
  <sheetViews>
    <sheetView showGridLines="0" showZeros="0" workbookViewId="0">
      <pane xSplit="1" ySplit="9" topLeftCell="V10" activePane="bottomRight" state="frozen"/>
      <selection pane="topRight" activeCell="B1" sqref="B1"/>
      <selection pane="bottomLeft" activeCell="A10" sqref="A10"/>
      <selection pane="bottomRight" activeCell="AB7" sqref="AB7:AB9"/>
    </sheetView>
  </sheetViews>
  <sheetFormatPr baseColWidth="10" defaultColWidth="12" defaultRowHeight="13.5" x14ac:dyDescent="0.3"/>
  <cols>
    <col min="1" max="1" width="28.83203125" style="4" customWidth="1"/>
    <col min="2" max="7" width="21.5" style="4" bestFit="1" customWidth="1"/>
    <col min="8" max="8" width="21.5" style="23" customWidth="1"/>
    <col min="9" max="9" width="20" style="23" bestFit="1" customWidth="1"/>
    <col min="10" max="28" width="20" style="23" customWidth="1"/>
    <col min="29" max="29" width="21.5" style="4" bestFit="1" customWidth="1"/>
    <col min="30" max="16384" width="12" style="4"/>
  </cols>
  <sheetData>
    <row r="1" spans="1:31" s="1" customFormat="1" ht="24" x14ac:dyDescent="0.5500000000000000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31" s="2" customFormat="1" x14ac:dyDescent="0.3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31" s="2" customFormat="1" x14ac:dyDescent="0.3"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31" x14ac:dyDescent="0.3">
      <c r="A4" s="37" t="s">
        <v>41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</row>
    <row r="5" spans="1:31" x14ac:dyDescent="0.3">
      <c r="A5" s="36" t="s">
        <v>38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</row>
    <row r="6" spans="1:31" x14ac:dyDescent="0.3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</row>
    <row r="7" spans="1:31" x14ac:dyDescent="0.3">
      <c r="A7" s="32" t="s">
        <v>3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8" t="s">
        <v>4</v>
      </c>
      <c r="I7" s="9" t="s">
        <v>4</v>
      </c>
      <c r="J7" s="10" t="s">
        <v>4</v>
      </c>
      <c r="K7" s="8" t="s">
        <v>4</v>
      </c>
      <c r="L7" s="8" t="s">
        <v>4</v>
      </c>
      <c r="M7" s="8" t="s">
        <v>4</v>
      </c>
      <c r="N7" s="8" t="s">
        <v>4</v>
      </c>
      <c r="O7" s="8" t="s">
        <v>4</v>
      </c>
      <c r="P7" s="8" t="s">
        <v>4</v>
      </c>
      <c r="Q7" s="8" t="s">
        <v>4</v>
      </c>
      <c r="R7" s="8" t="s">
        <v>4</v>
      </c>
      <c r="S7" s="8" t="s">
        <v>4</v>
      </c>
      <c r="T7" s="8" t="s">
        <v>4</v>
      </c>
      <c r="U7" s="8" t="s">
        <v>4</v>
      </c>
      <c r="V7" s="8" t="s">
        <v>4</v>
      </c>
      <c r="W7" s="8" t="s">
        <v>4</v>
      </c>
      <c r="X7" s="8" t="s">
        <v>4</v>
      </c>
      <c r="Y7" s="8" t="s">
        <v>4</v>
      </c>
      <c r="Z7" s="8" t="s">
        <v>4</v>
      </c>
      <c r="AA7" s="8" t="s">
        <v>4</v>
      </c>
      <c r="AB7" s="8" t="s">
        <v>40</v>
      </c>
      <c r="AC7" s="32" t="s">
        <v>5</v>
      </c>
    </row>
    <row r="8" spans="1:31" x14ac:dyDescent="0.3">
      <c r="A8" s="32"/>
      <c r="B8" s="11">
        <v>2000</v>
      </c>
      <c r="C8" s="11">
        <v>2001</v>
      </c>
      <c r="D8" s="11">
        <v>2002</v>
      </c>
      <c r="E8" s="11">
        <v>2003</v>
      </c>
      <c r="F8" s="11">
        <v>2004</v>
      </c>
      <c r="G8" s="11">
        <v>2005</v>
      </c>
      <c r="H8" s="12">
        <v>2006</v>
      </c>
      <c r="I8" s="12">
        <v>2007</v>
      </c>
      <c r="J8" s="12">
        <v>2008</v>
      </c>
      <c r="K8" s="12">
        <v>2009</v>
      </c>
      <c r="L8" s="12">
        <v>2010</v>
      </c>
      <c r="M8" s="12">
        <v>2011</v>
      </c>
      <c r="N8" s="12">
        <v>2012</v>
      </c>
      <c r="O8" s="12">
        <v>2013</v>
      </c>
      <c r="P8" s="12">
        <v>2014</v>
      </c>
      <c r="Q8" s="12">
        <v>2015</v>
      </c>
      <c r="R8" s="12">
        <v>2016</v>
      </c>
      <c r="S8" s="12">
        <v>2017</v>
      </c>
      <c r="T8" s="12">
        <v>2018</v>
      </c>
      <c r="U8" s="12">
        <v>2019</v>
      </c>
      <c r="V8" s="12">
        <v>2020</v>
      </c>
      <c r="W8" s="12">
        <v>2021</v>
      </c>
      <c r="X8" s="12">
        <v>2022</v>
      </c>
      <c r="Y8" s="12">
        <v>2023</v>
      </c>
      <c r="Z8" s="12">
        <v>2024</v>
      </c>
      <c r="AA8" s="12">
        <v>2025</v>
      </c>
      <c r="AB8" s="12">
        <v>2026</v>
      </c>
      <c r="AC8" s="32"/>
    </row>
    <row r="9" spans="1:31" ht="18.75" customHeight="1" x14ac:dyDescent="0.3">
      <c r="A9" s="13" t="s">
        <v>5</v>
      </c>
      <c r="B9" s="25">
        <f t="shared" ref="B9:AC9" si="0">SUM(B10:B41)</f>
        <v>455</v>
      </c>
      <c r="C9" s="25">
        <f t="shared" si="0"/>
        <v>281</v>
      </c>
      <c r="D9" s="25">
        <f t="shared" si="0"/>
        <v>328</v>
      </c>
      <c r="E9" s="25">
        <f t="shared" si="0"/>
        <v>427</v>
      </c>
      <c r="F9" s="25">
        <f t="shared" si="0"/>
        <v>647</v>
      </c>
      <c r="G9" s="25">
        <f t="shared" si="0"/>
        <v>556</v>
      </c>
      <c r="H9" s="26">
        <f t="shared" si="0"/>
        <v>498</v>
      </c>
      <c r="I9" s="26">
        <f t="shared" si="0"/>
        <v>402</v>
      </c>
      <c r="J9" s="26">
        <f t="shared" si="0"/>
        <v>851</v>
      </c>
      <c r="K9" s="26">
        <f t="shared" si="0"/>
        <v>961</v>
      </c>
      <c r="L9" s="26">
        <f t="shared" ref="L9:AB9" si="1">SUM(L10:L41)</f>
        <v>587</v>
      </c>
      <c r="M9" s="26">
        <f t="shared" si="1"/>
        <v>853</v>
      </c>
      <c r="N9" s="26">
        <f t="shared" si="1"/>
        <v>805</v>
      </c>
      <c r="O9" s="26">
        <f t="shared" si="1"/>
        <v>930</v>
      </c>
      <c r="P9" s="26">
        <f t="shared" ref="P9:W9" si="2">SUM(P10:P41)</f>
        <v>1120</v>
      </c>
      <c r="Q9" s="26">
        <f t="shared" si="2"/>
        <v>675</v>
      </c>
      <c r="R9" s="26">
        <f t="shared" si="2"/>
        <v>514</v>
      </c>
      <c r="S9" s="26">
        <f t="shared" si="2"/>
        <v>412</v>
      </c>
      <c r="T9" s="26">
        <f t="shared" si="2"/>
        <v>461</v>
      </c>
      <c r="U9" s="26">
        <f t="shared" si="2"/>
        <v>362</v>
      </c>
      <c r="V9" s="26">
        <f t="shared" si="2"/>
        <v>475</v>
      </c>
      <c r="W9" s="26">
        <f t="shared" si="2"/>
        <v>411</v>
      </c>
      <c r="X9" s="26">
        <v>465</v>
      </c>
      <c r="Y9" s="26">
        <f t="shared" ref="Y9:AA9" si="3">SUM(Y10:Y41)</f>
        <v>504</v>
      </c>
      <c r="Z9" s="26">
        <f t="shared" si="3"/>
        <v>484</v>
      </c>
      <c r="AA9" s="26">
        <f t="shared" si="3"/>
        <v>403</v>
      </c>
      <c r="AB9" s="26">
        <f t="shared" si="1"/>
        <v>193</v>
      </c>
      <c r="AC9" s="25">
        <f t="shared" si="0"/>
        <v>15060</v>
      </c>
      <c r="AD9" s="27"/>
    </row>
    <row r="10" spans="1:31" ht="20.100000000000001" customHeight="1" x14ac:dyDescent="0.3">
      <c r="A10" s="17" t="s">
        <v>6</v>
      </c>
      <c r="B10" s="28">
        <v>3</v>
      </c>
      <c r="C10" s="28">
        <v>2</v>
      </c>
      <c r="D10" s="28">
        <v>3</v>
      </c>
      <c r="E10" s="28">
        <v>6</v>
      </c>
      <c r="F10" s="28">
        <v>6</v>
      </c>
      <c r="G10" s="28">
        <v>7</v>
      </c>
      <c r="H10" s="29">
        <v>3</v>
      </c>
      <c r="I10" s="29">
        <v>5</v>
      </c>
      <c r="J10" s="29">
        <v>5</v>
      </c>
      <c r="K10" s="30">
        <v>8</v>
      </c>
      <c r="L10" s="30">
        <v>3</v>
      </c>
      <c r="M10" s="30">
        <v>12</v>
      </c>
      <c r="N10" s="30">
        <v>8</v>
      </c>
      <c r="O10" s="30">
        <v>4</v>
      </c>
      <c r="P10" s="30">
        <v>8</v>
      </c>
      <c r="Q10" s="30">
        <v>7</v>
      </c>
      <c r="R10" s="30">
        <v>1</v>
      </c>
      <c r="S10" s="30">
        <v>1</v>
      </c>
      <c r="T10" s="30">
        <v>1</v>
      </c>
      <c r="U10" s="30">
        <v>1</v>
      </c>
      <c r="V10" s="30">
        <v>7</v>
      </c>
      <c r="W10" s="30">
        <v>0</v>
      </c>
      <c r="X10" s="30">
        <v>4</v>
      </c>
      <c r="Y10" s="30">
        <v>3</v>
      </c>
      <c r="Z10" s="30">
        <v>0</v>
      </c>
      <c r="AA10" s="30">
        <v>1</v>
      </c>
      <c r="AB10" s="30">
        <v>1</v>
      </c>
      <c r="AC10" s="28">
        <f t="shared" ref="AC10:AC41" si="4">SUM(B10:AB10)</f>
        <v>110</v>
      </c>
      <c r="AD10" s="27"/>
      <c r="AE10" s="27"/>
    </row>
    <row r="11" spans="1:31" ht="20.100000000000001" customHeight="1" x14ac:dyDescent="0.3">
      <c r="A11" s="17" t="s">
        <v>7</v>
      </c>
      <c r="B11" s="28">
        <f>5+2</f>
        <v>7</v>
      </c>
      <c r="C11" s="28">
        <v>1</v>
      </c>
      <c r="D11" s="28">
        <v>0</v>
      </c>
      <c r="E11" s="28">
        <v>1</v>
      </c>
      <c r="F11" s="28">
        <v>4</v>
      </c>
      <c r="G11" s="28">
        <f>2+1</f>
        <v>3</v>
      </c>
      <c r="H11" s="29">
        <f>2+2</f>
        <v>4</v>
      </c>
      <c r="I11" s="29">
        <v>3</v>
      </c>
      <c r="J11" s="29">
        <v>6</v>
      </c>
      <c r="K11" s="30">
        <v>14</v>
      </c>
      <c r="L11" s="30">
        <v>20</v>
      </c>
      <c r="M11" s="30">
        <v>2</v>
      </c>
      <c r="N11" s="30">
        <v>3</v>
      </c>
      <c r="O11" s="30">
        <v>3</v>
      </c>
      <c r="P11" s="30">
        <v>4</v>
      </c>
      <c r="Q11" s="30">
        <v>5</v>
      </c>
      <c r="R11" s="30">
        <v>13</v>
      </c>
      <c r="S11" s="30">
        <v>15</v>
      </c>
      <c r="T11" s="30">
        <v>27</v>
      </c>
      <c r="U11" s="30">
        <v>23</v>
      </c>
      <c r="V11" s="30">
        <v>29</v>
      </c>
      <c r="W11" s="30">
        <v>23</v>
      </c>
      <c r="X11" s="30">
        <v>4</v>
      </c>
      <c r="Y11" s="30">
        <v>0</v>
      </c>
      <c r="Z11" s="30">
        <v>0</v>
      </c>
      <c r="AA11" s="30">
        <v>0</v>
      </c>
      <c r="AB11" s="30">
        <v>0</v>
      </c>
      <c r="AC11" s="28">
        <f t="shared" si="4"/>
        <v>214</v>
      </c>
      <c r="AD11" s="27"/>
      <c r="AE11" s="27"/>
    </row>
    <row r="12" spans="1:31" ht="20.100000000000001" customHeight="1" x14ac:dyDescent="0.3">
      <c r="A12" s="17" t="s">
        <v>8</v>
      </c>
      <c r="B12" s="28">
        <v>21</v>
      </c>
      <c r="C12" s="28">
        <v>16</v>
      </c>
      <c r="D12" s="28">
        <v>4</v>
      </c>
      <c r="E12" s="28">
        <v>5</v>
      </c>
      <c r="F12" s="28">
        <v>1</v>
      </c>
      <c r="G12" s="28">
        <f>2+1</f>
        <v>3</v>
      </c>
      <c r="H12" s="29">
        <f>2+1</f>
        <v>3</v>
      </c>
      <c r="I12" s="29">
        <v>1</v>
      </c>
      <c r="J12" s="29">
        <v>0</v>
      </c>
      <c r="K12" s="30">
        <v>6</v>
      </c>
      <c r="L12" s="30">
        <v>8</v>
      </c>
      <c r="M12" s="30">
        <v>4</v>
      </c>
      <c r="N12" s="30">
        <v>4</v>
      </c>
      <c r="O12" s="30">
        <v>1</v>
      </c>
      <c r="P12" s="30">
        <v>3</v>
      </c>
      <c r="Q12" s="30">
        <v>3</v>
      </c>
      <c r="R12" s="30">
        <v>0</v>
      </c>
      <c r="S12" s="30">
        <v>7</v>
      </c>
      <c r="T12" s="30">
        <v>13</v>
      </c>
      <c r="U12" s="30">
        <v>10</v>
      </c>
      <c r="V12" s="30">
        <v>9</v>
      </c>
      <c r="W12" s="30">
        <v>12</v>
      </c>
      <c r="X12" s="30">
        <v>12</v>
      </c>
      <c r="Y12" s="30">
        <v>5</v>
      </c>
      <c r="Z12" s="30">
        <v>9</v>
      </c>
      <c r="AA12" s="30">
        <v>12</v>
      </c>
      <c r="AB12" s="30">
        <v>1</v>
      </c>
      <c r="AC12" s="28">
        <f t="shared" si="4"/>
        <v>173</v>
      </c>
      <c r="AD12" s="27"/>
      <c r="AE12" s="27"/>
    </row>
    <row r="13" spans="1:31" ht="20.100000000000001" customHeight="1" x14ac:dyDescent="0.3">
      <c r="A13" s="17" t="s">
        <v>9</v>
      </c>
      <c r="B13" s="28">
        <v>2</v>
      </c>
      <c r="C13" s="28">
        <v>2</v>
      </c>
      <c r="D13" s="28">
        <v>1</v>
      </c>
      <c r="E13" s="28">
        <v>0</v>
      </c>
      <c r="F13" s="28">
        <v>20</v>
      </c>
      <c r="G13" s="28">
        <v>13</v>
      </c>
      <c r="H13" s="29">
        <v>1</v>
      </c>
      <c r="I13" s="29">
        <v>12</v>
      </c>
      <c r="J13" s="29">
        <v>12</v>
      </c>
      <c r="K13" s="30">
        <v>1</v>
      </c>
      <c r="L13" s="30">
        <v>9</v>
      </c>
      <c r="M13" s="30">
        <v>5</v>
      </c>
      <c r="N13" s="30">
        <v>3</v>
      </c>
      <c r="O13" s="30">
        <v>19</v>
      </c>
      <c r="P13" s="30">
        <v>13</v>
      </c>
      <c r="Q13" s="30">
        <v>3</v>
      </c>
      <c r="R13" s="30">
        <v>6</v>
      </c>
      <c r="S13" s="30">
        <v>0</v>
      </c>
      <c r="T13" s="30">
        <v>8</v>
      </c>
      <c r="U13" s="30">
        <v>0</v>
      </c>
      <c r="V13" s="30">
        <v>9</v>
      </c>
      <c r="W13" s="30">
        <v>0</v>
      </c>
      <c r="X13" s="30">
        <v>5</v>
      </c>
      <c r="Y13" s="30">
        <v>1</v>
      </c>
      <c r="Z13" s="30">
        <v>0</v>
      </c>
      <c r="AA13" s="30">
        <v>0</v>
      </c>
      <c r="AB13" s="30">
        <v>2</v>
      </c>
      <c r="AC13" s="28">
        <f t="shared" si="4"/>
        <v>147</v>
      </c>
      <c r="AD13" s="27"/>
      <c r="AE13" s="27"/>
    </row>
    <row r="14" spans="1:31" ht="20.100000000000001" customHeight="1" x14ac:dyDescent="0.3">
      <c r="A14" s="17" t="s">
        <v>10</v>
      </c>
      <c r="B14" s="28">
        <v>12</v>
      </c>
      <c r="C14" s="28">
        <f>1+2</f>
        <v>3</v>
      </c>
      <c r="D14" s="28">
        <f>3+1</f>
        <v>4</v>
      </c>
      <c r="E14" s="28">
        <f>1+1</f>
        <v>2</v>
      </c>
      <c r="F14" s="28">
        <v>6</v>
      </c>
      <c r="G14" s="28">
        <f>11+1</f>
        <v>12</v>
      </c>
      <c r="H14" s="29">
        <v>3</v>
      </c>
      <c r="I14" s="29">
        <v>3</v>
      </c>
      <c r="J14" s="29">
        <v>9</v>
      </c>
      <c r="K14" s="30">
        <v>14</v>
      </c>
      <c r="L14" s="30">
        <v>18</v>
      </c>
      <c r="M14" s="30">
        <v>34</v>
      </c>
      <c r="N14" s="30">
        <v>36</v>
      </c>
      <c r="O14" s="30">
        <v>47</v>
      </c>
      <c r="P14" s="30">
        <v>1</v>
      </c>
      <c r="Q14" s="30">
        <v>4</v>
      </c>
      <c r="R14" s="30">
        <v>12</v>
      </c>
      <c r="S14" s="30">
        <v>18</v>
      </c>
      <c r="T14" s="30">
        <v>5</v>
      </c>
      <c r="U14" s="30">
        <v>1</v>
      </c>
      <c r="V14" s="30">
        <v>1</v>
      </c>
      <c r="W14" s="30">
        <v>10</v>
      </c>
      <c r="X14" s="30">
        <v>2</v>
      </c>
      <c r="Y14" s="30">
        <v>4</v>
      </c>
      <c r="Z14" s="30">
        <v>5</v>
      </c>
      <c r="AA14" s="30">
        <v>2</v>
      </c>
      <c r="AB14" s="30">
        <v>0</v>
      </c>
      <c r="AC14" s="28">
        <f t="shared" si="4"/>
        <v>268</v>
      </c>
      <c r="AD14" s="27"/>
      <c r="AE14" s="27"/>
    </row>
    <row r="15" spans="1:31" ht="20.100000000000001" customHeight="1" x14ac:dyDescent="0.3">
      <c r="A15" s="17" t="s">
        <v>11</v>
      </c>
      <c r="B15" s="28">
        <v>14</v>
      </c>
      <c r="C15" s="28">
        <v>11</v>
      </c>
      <c r="D15" s="28">
        <v>4</v>
      </c>
      <c r="E15" s="28">
        <v>1</v>
      </c>
      <c r="F15" s="28">
        <v>6</v>
      </c>
      <c r="G15" s="28">
        <v>19</v>
      </c>
      <c r="H15" s="29">
        <v>8</v>
      </c>
      <c r="I15" s="29">
        <v>14</v>
      </c>
      <c r="J15" s="29">
        <v>43</v>
      </c>
      <c r="K15" s="30">
        <v>0</v>
      </c>
      <c r="L15" s="30">
        <v>7</v>
      </c>
      <c r="M15" s="30">
        <v>8</v>
      </c>
      <c r="N15" s="30">
        <v>5</v>
      </c>
      <c r="O15" s="30">
        <v>24</v>
      </c>
      <c r="P15" s="30">
        <v>12</v>
      </c>
      <c r="Q15" s="30">
        <v>0</v>
      </c>
      <c r="R15" s="30">
        <v>8</v>
      </c>
      <c r="S15" s="30">
        <v>4</v>
      </c>
      <c r="T15" s="30">
        <v>1</v>
      </c>
      <c r="U15" s="30">
        <v>8</v>
      </c>
      <c r="V15" s="30">
        <v>7</v>
      </c>
      <c r="W15" s="30">
        <v>0</v>
      </c>
      <c r="X15" s="30">
        <v>1</v>
      </c>
      <c r="Y15" s="30">
        <v>10</v>
      </c>
      <c r="Z15" s="30">
        <v>5</v>
      </c>
      <c r="AA15" s="30">
        <v>1</v>
      </c>
      <c r="AB15" s="30">
        <v>1</v>
      </c>
      <c r="AC15" s="28">
        <f t="shared" si="4"/>
        <v>222</v>
      </c>
      <c r="AD15" s="27"/>
      <c r="AE15" s="27"/>
    </row>
    <row r="16" spans="1:31" ht="20.100000000000001" customHeight="1" x14ac:dyDescent="0.3">
      <c r="A16" s="17" t="s">
        <v>12</v>
      </c>
      <c r="B16" s="28">
        <v>0</v>
      </c>
      <c r="C16" s="28">
        <v>0</v>
      </c>
      <c r="D16" s="28">
        <v>0</v>
      </c>
      <c r="E16" s="28">
        <v>6</v>
      </c>
      <c r="F16" s="28">
        <v>14</v>
      </c>
      <c r="G16" s="28">
        <v>15</v>
      </c>
      <c r="H16" s="29">
        <v>34</v>
      </c>
      <c r="I16" s="29">
        <v>11</v>
      </c>
      <c r="J16" s="29">
        <v>83</v>
      </c>
      <c r="K16" s="30">
        <v>63</v>
      </c>
      <c r="L16" s="30">
        <v>15</v>
      </c>
      <c r="M16" s="30">
        <v>82</v>
      </c>
      <c r="N16" s="30">
        <v>24</v>
      </c>
      <c r="O16" s="30">
        <v>80</v>
      </c>
      <c r="P16" s="30">
        <v>19</v>
      </c>
      <c r="Q16" s="30">
        <v>7</v>
      </c>
      <c r="R16" s="30">
        <v>24</v>
      </c>
      <c r="S16" s="30">
        <v>28</v>
      </c>
      <c r="T16" s="30">
        <v>18</v>
      </c>
      <c r="U16" s="30">
        <v>16</v>
      </c>
      <c r="V16" s="30">
        <v>40</v>
      </c>
      <c r="W16" s="30">
        <v>23</v>
      </c>
      <c r="X16" s="30">
        <v>65</v>
      </c>
      <c r="Y16" s="30">
        <v>37</v>
      </c>
      <c r="Z16" s="30">
        <v>37</v>
      </c>
      <c r="AA16" s="30">
        <v>37</v>
      </c>
      <c r="AB16" s="30">
        <v>31</v>
      </c>
      <c r="AC16" s="28">
        <f t="shared" si="4"/>
        <v>809</v>
      </c>
      <c r="AD16" s="27"/>
      <c r="AE16" s="27"/>
    </row>
    <row r="17" spans="1:31" ht="20.100000000000001" customHeight="1" x14ac:dyDescent="0.3">
      <c r="A17" s="17" t="s">
        <v>13</v>
      </c>
      <c r="B17" s="28">
        <f>3+1</f>
        <v>4</v>
      </c>
      <c r="C17" s="28">
        <v>2</v>
      </c>
      <c r="D17" s="28">
        <v>0</v>
      </c>
      <c r="E17" s="28">
        <v>0</v>
      </c>
      <c r="F17" s="28">
        <f>2+2</f>
        <v>4</v>
      </c>
      <c r="G17" s="28">
        <f>1+1</f>
        <v>2</v>
      </c>
      <c r="H17" s="29">
        <f>4+1</f>
        <v>5</v>
      </c>
      <c r="I17" s="29">
        <v>2</v>
      </c>
      <c r="J17" s="29">
        <v>20</v>
      </c>
      <c r="K17" s="30">
        <v>58</v>
      </c>
      <c r="L17" s="30">
        <v>5</v>
      </c>
      <c r="M17" s="30">
        <v>13</v>
      </c>
      <c r="N17" s="30">
        <v>36</v>
      </c>
      <c r="O17" s="30">
        <v>9</v>
      </c>
      <c r="P17" s="30">
        <v>133</v>
      </c>
      <c r="Q17" s="30">
        <v>23</v>
      </c>
      <c r="R17" s="30">
        <v>5</v>
      </c>
      <c r="S17" s="30">
        <v>0</v>
      </c>
      <c r="T17" s="30">
        <v>1</v>
      </c>
      <c r="U17" s="30">
        <v>5</v>
      </c>
      <c r="V17" s="30">
        <v>4</v>
      </c>
      <c r="W17" s="30">
        <v>3</v>
      </c>
      <c r="X17" s="30">
        <v>20</v>
      </c>
      <c r="Y17" s="30">
        <v>6</v>
      </c>
      <c r="Z17" s="30">
        <v>5</v>
      </c>
      <c r="AA17" s="30">
        <v>11</v>
      </c>
      <c r="AB17" s="30">
        <v>5</v>
      </c>
      <c r="AC17" s="28">
        <f t="shared" si="4"/>
        <v>381</v>
      </c>
      <c r="AD17" s="27"/>
      <c r="AE17" s="27"/>
    </row>
    <row r="18" spans="1:31" ht="20.100000000000001" customHeight="1" x14ac:dyDescent="0.3">
      <c r="A18" s="17" t="s">
        <v>14</v>
      </c>
      <c r="B18" s="28">
        <f>16+28</f>
        <v>44</v>
      </c>
      <c r="C18" s="28">
        <f>1+17+16</f>
        <v>34</v>
      </c>
      <c r="D18" s="28">
        <f>29+11+15</f>
        <v>55</v>
      </c>
      <c r="E18" s="28">
        <f>20+10+8</f>
        <v>38</v>
      </c>
      <c r="F18" s="28">
        <f>72+7+16</f>
        <v>95</v>
      </c>
      <c r="G18" s="28">
        <f>7+9</f>
        <v>16</v>
      </c>
      <c r="H18" s="29">
        <f>3+7</f>
        <v>10</v>
      </c>
      <c r="I18" s="29">
        <v>47</v>
      </c>
      <c r="J18" s="29">
        <v>112</v>
      </c>
      <c r="K18" s="30">
        <v>251</v>
      </c>
      <c r="L18" s="30">
        <v>166</v>
      </c>
      <c r="M18" s="30">
        <v>213</v>
      </c>
      <c r="N18" s="30">
        <v>336</v>
      </c>
      <c r="O18" s="30">
        <v>369</v>
      </c>
      <c r="P18" s="30">
        <v>375</v>
      </c>
      <c r="Q18" s="30">
        <v>321</v>
      </c>
      <c r="R18" s="30">
        <v>251</v>
      </c>
      <c r="S18" s="30">
        <v>183</v>
      </c>
      <c r="T18" s="30">
        <v>265</v>
      </c>
      <c r="U18" s="30">
        <v>220</v>
      </c>
      <c r="V18" s="30">
        <v>208</v>
      </c>
      <c r="W18" s="30">
        <v>217</v>
      </c>
      <c r="X18" s="30">
        <v>201</v>
      </c>
      <c r="Y18" s="30">
        <v>305</v>
      </c>
      <c r="Z18" s="30">
        <v>359</v>
      </c>
      <c r="AA18" s="30">
        <v>266</v>
      </c>
      <c r="AB18" s="30">
        <v>85</v>
      </c>
      <c r="AC18" s="28">
        <f t="shared" si="4"/>
        <v>5042</v>
      </c>
      <c r="AD18" s="27"/>
      <c r="AE18" s="27"/>
    </row>
    <row r="19" spans="1:31" ht="20.100000000000001" customHeight="1" x14ac:dyDescent="0.3">
      <c r="A19" s="17" t="s">
        <v>15</v>
      </c>
      <c r="B19" s="28">
        <v>30</v>
      </c>
      <c r="C19" s="28">
        <f>30+1</f>
        <v>31</v>
      </c>
      <c r="D19" s="28">
        <f>25+2</f>
        <v>27</v>
      </c>
      <c r="E19" s="28">
        <v>32</v>
      </c>
      <c r="F19" s="28">
        <v>27</v>
      </c>
      <c r="G19" s="28">
        <f>27+1</f>
        <v>28</v>
      </c>
      <c r="H19" s="29">
        <v>27</v>
      </c>
      <c r="I19" s="29">
        <v>13</v>
      </c>
      <c r="J19" s="29">
        <v>69</v>
      </c>
      <c r="K19" s="30">
        <v>55</v>
      </c>
      <c r="L19" s="30">
        <v>8</v>
      </c>
      <c r="M19" s="30">
        <v>54</v>
      </c>
      <c r="N19" s="30">
        <v>5</v>
      </c>
      <c r="O19" s="30">
        <v>17</v>
      </c>
      <c r="P19" s="30">
        <v>32</v>
      </c>
      <c r="Q19" s="30">
        <v>29</v>
      </c>
      <c r="R19" s="30">
        <v>9</v>
      </c>
      <c r="S19" s="30">
        <v>7</v>
      </c>
      <c r="T19" s="30">
        <v>5</v>
      </c>
      <c r="U19" s="30">
        <v>3</v>
      </c>
      <c r="V19" s="30">
        <v>6</v>
      </c>
      <c r="W19" s="30">
        <v>9</v>
      </c>
      <c r="X19" s="30">
        <v>7</v>
      </c>
      <c r="Y19" s="30">
        <v>18</v>
      </c>
      <c r="Z19" s="30">
        <v>16</v>
      </c>
      <c r="AA19" s="30">
        <v>6</v>
      </c>
      <c r="AB19" s="30">
        <v>21</v>
      </c>
      <c r="AC19" s="28">
        <f t="shared" si="4"/>
        <v>591</v>
      </c>
      <c r="AD19" s="27"/>
      <c r="AE19" s="27"/>
    </row>
    <row r="20" spans="1:31" ht="20.100000000000001" customHeight="1" x14ac:dyDescent="0.3">
      <c r="A20" s="17" t="s">
        <v>16</v>
      </c>
      <c r="B20" s="28">
        <v>2</v>
      </c>
      <c r="C20" s="28">
        <v>18</v>
      </c>
      <c r="D20" s="28">
        <v>5</v>
      </c>
      <c r="E20" s="28">
        <v>9</v>
      </c>
      <c r="F20" s="28">
        <v>12</v>
      </c>
      <c r="G20" s="28">
        <v>19</v>
      </c>
      <c r="H20" s="29">
        <v>9</v>
      </c>
      <c r="I20" s="29">
        <v>6</v>
      </c>
      <c r="J20" s="29">
        <v>39</v>
      </c>
      <c r="K20" s="30">
        <v>35</v>
      </c>
      <c r="L20" s="30">
        <v>15</v>
      </c>
      <c r="M20" s="30">
        <v>8</v>
      </c>
      <c r="N20" s="30">
        <v>29</v>
      </c>
      <c r="O20" s="30">
        <v>7</v>
      </c>
      <c r="P20" s="30">
        <v>2</v>
      </c>
      <c r="Q20" s="30">
        <v>0</v>
      </c>
      <c r="R20" s="30">
        <v>1</v>
      </c>
      <c r="S20" s="30">
        <v>0</v>
      </c>
      <c r="T20" s="30">
        <v>0</v>
      </c>
      <c r="U20" s="30">
        <v>1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28">
        <f t="shared" si="4"/>
        <v>217</v>
      </c>
      <c r="AD20" s="27"/>
      <c r="AE20" s="27"/>
    </row>
    <row r="21" spans="1:31" ht="20.100000000000001" customHeight="1" x14ac:dyDescent="0.3">
      <c r="A21" s="17" t="s">
        <v>17</v>
      </c>
      <c r="B21" s="28">
        <v>12</v>
      </c>
      <c r="C21" s="28">
        <v>8</v>
      </c>
      <c r="D21" s="28">
        <f>12+1</f>
        <v>13</v>
      </c>
      <c r="E21" s="28">
        <v>12</v>
      </c>
      <c r="F21" s="28">
        <v>45</v>
      </c>
      <c r="G21" s="28">
        <v>24</v>
      </c>
      <c r="H21" s="29">
        <f>3+3</f>
        <v>6</v>
      </c>
      <c r="I21" s="29">
        <v>1</v>
      </c>
      <c r="J21" s="29">
        <v>5</v>
      </c>
      <c r="K21" s="30">
        <v>20</v>
      </c>
      <c r="L21" s="30">
        <v>23</v>
      </c>
      <c r="M21" s="30">
        <v>7</v>
      </c>
      <c r="N21" s="30">
        <v>3</v>
      </c>
      <c r="O21" s="30">
        <v>4</v>
      </c>
      <c r="P21" s="30">
        <v>22</v>
      </c>
      <c r="Q21" s="30">
        <v>0</v>
      </c>
      <c r="R21" s="30">
        <v>0</v>
      </c>
      <c r="S21" s="30">
        <v>3</v>
      </c>
      <c r="T21" s="30">
        <v>0</v>
      </c>
      <c r="U21" s="30">
        <v>0</v>
      </c>
      <c r="V21" s="30">
        <v>0</v>
      </c>
      <c r="W21" s="30">
        <v>0</v>
      </c>
      <c r="X21" s="30">
        <v>1</v>
      </c>
      <c r="Y21" s="30">
        <v>3</v>
      </c>
      <c r="Z21" s="30">
        <v>0</v>
      </c>
      <c r="AA21" s="30">
        <v>0</v>
      </c>
      <c r="AB21" s="30">
        <v>0</v>
      </c>
      <c r="AC21" s="28">
        <f t="shared" si="4"/>
        <v>212</v>
      </c>
      <c r="AD21" s="27"/>
      <c r="AE21" s="27"/>
    </row>
    <row r="22" spans="1:31" ht="20.100000000000001" customHeight="1" x14ac:dyDescent="0.3">
      <c r="A22" s="17" t="s">
        <v>18</v>
      </c>
      <c r="B22" s="28">
        <v>26</v>
      </c>
      <c r="C22" s="28">
        <v>6</v>
      </c>
      <c r="D22" s="28">
        <v>3</v>
      </c>
      <c r="E22" s="28">
        <v>1</v>
      </c>
      <c r="F22" s="28">
        <v>38</v>
      </c>
      <c r="G22" s="28">
        <v>6</v>
      </c>
      <c r="H22" s="29">
        <v>2</v>
      </c>
      <c r="I22" s="29">
        <v>6</v>
      </c>
      <c r="J22" s="29">
        <v>1</v>
      </c>
      <c r="K22" s="30">
        <v>2</v>
      </c>
      <c r="L22" s="30">
        <v>6</v>
      </c>
      <c r="M22" s="30">
        <v>0</v>
      </c>
      <c r="N22" s="30">
        <v>25</v>
      </c>
      <c r="O22" s="30">
        <v>19</v>
      </c>
      <c r="P22" s="30">
        <v>24</v>
      </c>
      <c r="Q22" s="30">
        <v>31</v>
      </c>
      <c r="R22" s="30">
        <v>0</v>
      </c>
      <c r="S22" s="30">
        <v>3</v>
      </c>
      <c r="T22" s="30">
        <v>3</v>
      </c>
      <c r="U22" s="30">
        <v>0</v>
      </c>
      <c r="V22" s="30">
        <v>1</v>
      </c>
      <c r="W22" s="30">
        <v>0</v>
      </c>
      <c r="X22" s="30">
        <v>1</v>
      </c>
      <c r="Y22" s="30">
        <v>9</v>
      </c>
      <c r="Z22" s="30">
        <v>0</v>
      </c>
      <c r="AA22" s="30">
        <v>1</v>
      </c>
      <c r="AB22" s="30">
        <v>4</v>
      </c>
      <c r="AC22" s="28">
        <f t="shared" si="4"/>
        <v>218</v>
      </c>
      <c r="AD22" s="27"/>
      <c r="AE22" s="27"/>
    </row>
    <row r="23" spans="1:31" ht="20.100000000000001" customHeight="1" x14ac:dyDescent="0.3">
      <c r="A23" s="17" t="s">
        <v>19</v>
      </c>
      <c r="B23" s="28">
        <f>10+1</f>
        <v>11</v>
      </c>
      <c r="C23" s="28">
        <f>3+1</f>
        <v>4</v>
      </c>
      <c r="D23" s="28">
        <f>16+1</f>
        <v>17</v>
      </c>
      <c r="E23" s="28">
        <f>53+1</f>
        <v>54</v>
      </c>
      <c r="F23" s="28">
        <f>37+1</f>
        <v>38</v>
      </c>
      <c r="G23" s="28">
        <f>40+1</f>
        <v>41</v>
      </c>
      <c r="H23" s="29">
        <f>52+1</f>
        <v>53</v>
      </c>
      <c r="I23" s="29">
        <v>23</v>
      </c>
      <c r="J23" s="29">
        <v>60</v>
      </c>
      <c r="K23" s="30">
        <v>81</v>
      </c>
      <c r="L23" s="30">
        <v>50</v>
      </c>
      <c r="M23" s="30">
        <v>123</v>
      </c>
      <c r="N23" s="30">
        <v>52</v>
      </c>
      <c r="O23" s="30">
        <v>107</v>
      </c>
      <c r="P23" s="30">
        <v>120</v>
      </c>
      <c r="Q23" s="30">
        <v>46</v>
      </c>
      <c r="R23" s="30">
        <v>50</v>
      </c>
      <c r="S23" s="30">
        <v>38</v>
      </c>
      <c r="T23" s="30">
        <v>36</v>
      </c>
      <c r="U23" s="30">
        <v>35</v>
      </c>
      <c r="V23" s="30">
        <v>34</v>
      </c>
      <c r="W23" s="30">
        <v>11</v>
      </c>
      <c r="X23" s="30">
        <v>9</v>
      </c>
      <c r="Y23" s="30">
        <v>11</v>
      </c>
      <c r="Z23" s="30">
        <v>9</v>
      </c>
      <c r="AA23" s="30">
        <v>5</v>
      </c>
      <c r="AB23" s="30">
        <v>0</v>
      </c>
      <c r="AC23" s="28">
        <f t="shared" si="4"/>
        <v>1118</v>
      </c>
      <c r="AD23" s="27"/>
      <c r="AE23" s="27"/>
    </row>
    <row r="24" spans="1:31" ht="20.100000000000001" customHeight="1" x14ac:dyDescent="0.3">
      <c r="A24" s="22" t="s">
        <v>20</v>
      </c>
      <c r="B24" s="28">
        <f>8+1</f>
        <v>9</v>
      </c>
      <c r="C24" s="28">
        <f>3+1</f>
        <v>4</v>
      </c>
      <c r="D24" s="28">
        <f>7+2</f>
        <v>9</v>
      </c>
      <c r="E24" s="28">
        <f>5+2</f>
        <v>7</v>
      </c>
      <c r="F24" s="28">
        <f>39+2</f>
        <v>41</v>
      </c>
      <c r="G24" s="28">
        <f>35+2</f>
        <v>37</v>
      </c>
      <c r="H24" s="29">
        <f>26+3</f>
        <v>29</v>
      </c>
      <c r="I24" s="29">
        <v>32</v>
      </c>
      <c r="J24" s="29">
        <v>47</v>
      </c>
      <c r="K24" s="30">
        <v>18</v>
      </c>
      <c r="L24" s="30">
        <v>35</v>
      </c>
      <c r="M24" s="30">
        <v>21</v>
      </c>
      <c r="N24" s="30">
        <v>16</v>
      </c>
      <c r="O24" s="30">
        <v>39</v>
      </c>
      <c r="P24" s="30">
        <v>63</v>
      </c>
      <c r="Q24" s="30">
        <v>18</v>
      </c>
      <c r="R24" s="30">
        <v>18</v>
      </c>
      <c r="S24" s="30">
        <v>17</v>
      </c>
      <c r="T24" s="30">
        <v>7</v>
      </c>
      <c r="U24" s="30">
        <v>3</v>
      </c>
      <c r="V24" s="30">
        <v>19</v>
      </c>
      <c r="W24" s="30">
        <v>24</v>
      </c>
      <c r="X24" s="30">
        <v>14</v>
      </c>
      <c r="Y24" s="30">
        <v>10</v>
      </c>
      <c r="Z24" s="30">
        <v>0</v>
      </c>
      <c r="AA24" s="30">
        <v>0</v>
      </c>
      <c r="AB24" s="30">
        <v>0</v>
      </c>
      <c r="AC24" s="28">
        <f t="shared" si="4"/>
        <v>537</v>
      </c>
      <c r="AD24" s="27"/>
      <c r="AE24" s="27"/>
    </row>
    <row r="25" spans="1:31" ht="20.100000000000001" customHeight="1" x14ac:dyDescent="0.3">
      <c r="A25" s="22" t="s">
        <v>21</v>
      </c>
      <c r="B25" s="28">
        <v>3</v>
      </c>
      <c r="C25" s="28">
        <v>2</v>
      </c>
      <c r="D25" s="28">
        <v>3</v>
      </c>
      <c r="E25" s="28">
        <v>5</v>
      </c>
      <c r="F25" s="28">
        <v>18</v>
      </c>
      <c r="G25" s="28">
        <f>11+1</f>
        <v>12</v>
      </c>
      <c r="H25" s="29">
        <f>11+1</f>
        <v>12</v>
      </c>
      <c r="I25" s="29">
        <v>65</v>
      </c>
      <c r="J25" s="29">
        <v>5</v>
      </c>
      <c r="K25" s="30">
        <v>33</v>
      </c>
      <c r="L25" s="30">
        <v>19</v>
      </c>
      <c r="M25" s="30">
        <v>8</v>
      </c>
      <c r="N25" s="30">
        <v>3</v>
      </c>
      <c r="O25" s="30">
        <v>16</v>
      </c>
      <c r="P25" s="30">
        <v>46</v>
      </c>
      <c r="Q25" s="30">
        <v>6</v>
      </c>
      <c r="R25" s="30">
        <v>10</v>
      </c>
      <c r="S25" s="30">
        <v>4</v>
      </c>
      <c r="T25" s="30">
        <v>8</v>
      </c>
      <c r="U25" s="30">
        <v>2</v>
      </c>
      <c r="V25" s="30">
        <v>4</v>
      </c>
      <c r="W25" s="30">
        <v>2</v>
      </c>
      <c r="X25" s="30">
        <v>21</v>
      </c>
      <c r="Y25" s="30">
        <v>10</v>
      </c>
      <c r="Z25" s="30">
        <v>2</v>
      </c>
      <c r="AA25" s="30">
        <v>18</v>
      </c>
      <c r="AB25" s="30">
        <v>0</v>
      </c>
      <c r="AC25" s="28">
        <f t="shared" si="4"/>
        <v>337</v>
      </c>
      <c r="AD25" s="27"/>
      <c r="AE25" s="27"/>
    </row>
    <row r="26" spans="1:31" ht="20.100000000000001" customHeight="1" x14ac:dyDescent="0.3">
      <c r="A26" s="17" t="s">
        <v>22</v>
      </c>
      <c r="B26" s="28">
        <v>1</v>
      </c>
      <c r="C26" s="28">
        <v>6</v>
      </c>
      <c r="D26" s="28">
        <v>8</v>
      </c>
      <c r="E26" s="28">
        <v>5</v>
      </c>
      <c r="F26" s="28">
        <v>14</v>
      </c>
      <c r="G26" s="28">
        <v>23</v>
      </c>
      <c r="H26" s="29">
        <v>4</v>
      </c>
      <c r="I26" s="29">
        <v>1</v>
      </c>
      <c r="J26" s="29">
        <v>5</v>
      </c>
      <c r="K26" s="30">
        <v>1</v>
      </c>
      <c r="L26" s="30">
        <v>23</v>
      </c>
      <c r="M26" s="30">
        <v>9</v>
      </c>
      <c r="N26" s="30">
        <v>6</v>
      </c>
      <c r="O26" s="30">
        <v>20</v>
      </c>
      <c r="P26" s="30">
        <v>9</v>
      </c>
      <c r="Q26" s="30">
        <v>0</v>
      </c>
      <c r="R26" s="30">
        <v>27</v>
      </c>
      <c r="S26" s="30">
        <v>17</v>
      </c>
      <c r="T26" s="30">
        <v>9</v>
      </c>
      <c r="U26" s="30">
        <v>3</v>
      </c>
      <c r="V26" s="30">
        <v>0</v>
      </c>
      <c r="W26" s="30">
        <v>10</v>
      </c>
      <c r="X26" s="30">
        <v>1</v>
      </c>
      <c r="Y26" s="30">
        <v>7</v>
      </c>
      <c r="Z26" s="30">
        <v>0</v>
      </c>
      <c r="AA26" s="30">
        <v>0</v>
      </c>
      <c r="AB26" s="30">
        <v>0</v>
      </c>
      <c r="AC26" s="28">
        <f t="shared" si="4"/>
        <v>209</v>
      </c>
      <c r="AD26" s="27"/>
      <c r="AE26" s="27"/>
    </row>
    <row r="27" spans="1:31" ht="20.100000000000001" customHeight="1" x14ac:dyDescent="0.3">
      <c r="A27" s="17" t="s">
        <v>23</v>
      </c>
      <c r="B27" s="28">
        <v>8</v>
      </c>
      <c r="C27" s="28">
        <v>11</v>
      </c>
      <c r="D27" s="28">
        <v>26</v>
      </c>
      <c r="E27" s="28">
        <v>1</v>
      </c>
      <c r="F27" s="28">
        <f>23+1</f>
        <v>24</v>
      </c>
      <c r="G27" s="28">
        <f>15+1</f>
        <v>16</v>
      </c>
      <c r="H27" s="29">
        <f>12+1</f>
        <v>13</v>
      </c>
      <c r="I27" s="29">
        <v>11</v>
      </c>
      <c r="J27" s="29">
        <v>41</v>
      </c>
      <c r="K27" s="30">
        <v>10</v>
      </c>
      <c r="L27" s="30">
        <v>35</v>
      </c>
      <c r="M27" s="30">
        <v>12</v>
      </c>
      <c r="N27" s="30">
        <v>4</v>
      </c>
      <c r="O27" s="30">
        <v>2</v>
      </c>
      <c r="P27" s="30">
        <v>1</v>
      </c>
      <c r="Q27" s="30">
        <v>5</v>
      </c>
      <c r="R27" s="30">
        <v>14</v>
      </c>
      <c r="S27" s="30">
        <v>24</v>
      </c>
      <c r="T27" s="30">
        <v>2</v>
      </c>
      <c r="U27" s="30">
        <v>5</v>
      </c>
      <c r="V27" s="30">
        <v>11</v>
      </c>
      <c r="W27" s="30">
        <v>8</v>
      </c>
      <c r="X27" s="30">
        <v>2</v>
      </c>
      <c r="Y27" s="30">
        <v>0</v>
      </c>
      <c r="Z27" s="30">
        <v>2</v>
      </c>
      <c r="AA27" s="30">
        <v>0</v>
      </c>
      <c r="AB27" s="30">
        <v>0</v>
      </c>
      <c r="AC27" s="28">
        <f t="shared" si="4"/>
        <v>288</v>
      </c>
      <c r="AD27" s="27"/>
      <c r="AE27" s="27"/>
    </row>
    <row r="28" spans="1:31" ht="20.100000000000001" customHeight="1" x14ac:dyDescent="0.3">
      <c r="A28" s="22" t="s">
        <v>24</v>
      </c>
      <c r="B28" s="28">
        <v>16</v>
      </c>
      <c r="C28" s="28">
        <v>12</v>
      </c>
      <c r="D28" s="28">
        <v>40</v>
      </c>
      <c r="E28" s="28">
        <v>57</v>
      </c>
      <c r="F28" s="28">
        <v>10</v>
      </c>
      <c r="G28" s="28">
        <f>7+1</f>
        <v>8</v>
      </c>
      <c r="H28" s="29">
        <v>4</v>
      </c>
      <c r="I28" s="29">
        <v>4</v>
      </c>
      <c r="J28" s="29">
        <v>13</v>
      </c>
      <c r="K28" s="30">
        <v>5</v>
      </c>
      <c r="L28" s="30">
        <v>16</v>
      </c>
      <c r="M28" s="30">
        <v>15</v>
      </c>
      <c r="N28" s="30">
        <v>14</v>
      </c>
      <c r="O28" s="30">
        <v>9</v>
      </c>
      <c r="P28" s="30">
        <v>12</v>
      </c>
      <c r="Q28" s="30">
        <v>0</v>
      </c>
      <c r="R28" s="30">
        <v>10</v>
      </c>
      <c r="S28" s="30">
        <v>10</v>
      </c>
      <c r="T28" s="30">
        <v>1</v>
      </c>
      <c r="U28" s="30">
        <v>0</v>
      </c>
      <c r="V28" s="30">
        <v>17</v>
      </c>
      <c r="W28" s="30">
        <v>6</v>
      </c>
      <c r="X28" s="30">
        <v>14</v>
      </c>
      <c r="Y28" s="30">
        <v>14</v>
      </c>
      <c r="Z28" s="30">
        <v>5</v>
      </c>
      <c r="AA28" s="30">
        <v>12</v>
      </c>
      <c r="AB28" s="30">
        <v>2</v>
      </c>
      <c r="AC28" s="28">
        <f t="shared" si="4"/>
        <v>326</v>
      </c>
      <c r="AD28" s="27"/>
      <c r="AE28" s="27"/>
    </row>
    <row r="29" spans="1:31" ht="20.100000000000001" customHeight="1" x14ac:dyDescent="0.3">
      <c r="A29" s="17" t="s">
        <v>25</v>
      </c>
      <c r="B29" s="28">
        <v>0</v>
      </c>
      <c r="C29" s="28">
        <v>8</v>
      </c>
      <c r="D29" s="28">
        <v>1</v>
      </c>
      <c r="E29" s="28">
        <f>6+1</f>
        <v>7</v>
      </c>
      <c r="F29" s="28">
        <f>10+1</f>
        <v>11</v>
      </c>
      <c r="G29" s="28">
        <f>21+1</f>
        <v>22</v>
      </c>
      <c r="H29" s="29">
        <f>32+1</f>
        <v>33</v>
      </c>
      <c r="I29" s="29">
        <v>3</v>
      </c>
      <c r="J29" s="29">
        <v>71</v>
      </c>
      <c r="K29" s="30">
        <v>63</v>
      </c>
      <c r="L29" s="30">
        <v>13</v>
      </c>
      <c r="M29" s="30">
        <v>42</v>
      </c>
      <c r="N29" s="30">
        <v>27</v>
      </c>
      <c r="O29" s="30">
        <v>22</v>
      </c>
      <c r="P29" s="30">
        <v>75</v>
      </c>
      <c r="Q29" s="30">
        <v>38</v>
      </c>
      <c r="R29" s="30">
        <v>6</v>
      </c>
      <c r="S29" s="30">
        <v>7</v>
      </c>
      <c r="T29" s="30">
        <v>13</v>
      </c>
      <c r="U29" s="30">
        <v>14</v>
      </c>
      <c r="V29" s="30">
        <v>18</v>
      </c>
      <c r="W29" s="30">
        <v>26</v>
      </c>
      <c r="X29" s="30">
        <v>15</v>
      </c>
      <c r="Y29" s="30">
        <v>9</v>
      </c>
      <c r="Z29" s="30">
        <v>9</v>
      </c>
      <c r="AA29" s="30">
        <v>15</v>
      </c>
      <c r="AB29" s="30">
        <v>4</v>
      </c>
      <c r="AC29" s="28">
        <f t="shared" si="4"/>
        <v>572</v>
      </c>
      <c r="AD29" s="27"/>
      <c r="AE29" s="27"/>
    </row>
    <row r="30" spans="1:31" ht="20.100000000000001" customHeight="1" x14ac:dyDescent="0.3">
      <c r="A30" s="17" t="s">
        <v>26</v>
      </c>
      <c r="B30" s="28">
        <f>27+1</f>
        <v>28</v>
      </c>
      <c r="C30" s="28">
        <f>4+1</f>
        <v>5</v>
      </c>
      <c r="D30" s="28">
        <v>23</v>
      </c>
      <c r="E30" s="28">
        <v>50</v>
      </c>
      <c r="F30" s="28">
        <v>83</v>
      </c>
      <c r="G30" s="28">
        <f>90+1</f>
        <v>91</v>
      </c>
      <c r="H30" s="29">
        <f>75+1</f>
        <v>76</v>
      </c>
      <c r="I30" s="29">
        <v>41</v>
      </c>
      <c r="J30" s="29">
        <v>9</v>
      </c>
      <c r="K30" s="30">
        <v>58</v>
      </c>
      <c r="L30" s="30">
        <v>17</v>
      </c>
      <c r="M30" s="30">
        <v>14</v>
      </c>
      <c r="N30" s="30">
        <v>31</v>
      </c>
      <c r="O30" s="30">
        <v>8</v>
      </c>
      <c r="P30" s="30">
        <v>22</v>
      </c>
      <c r="Q30" s="30">
        <v>20</v>
      </c>
      <c r="R30" s="30">
        <v>9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7</v>
      </c>
      <c r="Y30" s="30">
        <v>4</v>
      </c>
      <c r="Z30" s="30">
        <v>0</v>
      </c>
      <c r="AA30" s="30">
        <v>0</v>
      </c>
      <c r="AB30" s="30">
        <v>4</v>
      </c>
      <c r="AC30" s="28">
        <f t="shared" si="4"/>
        <v>600</v>
      </c>
      <c r="AD30" s="27"/>
      <c r="AE30" s="27"/>
    </row>
    <row r="31" spans="1:31" ht="20.100000000000001" customHeight="1" x14ac:dyDescent="0.3">
      <c r="A31" s="22" t="s">
        <v>27</v>
      </c>
      <c r="B31" s="28">
        <v>12</v>
      </c>
      <c r="C31" s="28">
        <v>9</v>
      </c>
      <c r="D31" s="28">
        <v>0</v>
      </c>
      <c r="E31" s="28">
        <v>0</v>
      </c>
      <c r="F31" s="28">
        <v>5</v>
      </c>
      <c r="G31" s="28">
        <v>3</v>
      </c>
      <c r="H31" s="29">
        <f>1+1</f>
        <v>2</v>
      </c>
      <c r="I31" s="29">
        <v>1</v>
      </c>
      <c r="J31" s="29">
        <v>2</v>
      </c>
      <c r="K31" s="30">
        <v>0</v>
      </c>
      <c r="L31" s="30">
        <v>0</v>
      </c>
      <c r="M31" s="30">
        <v>0</v>
      </c>
      <c r="N31" s="30">
        <v>0</v>
      </c>
      <c r="O31" s="30">
        <v>6</v>
      </c>
      <c r="P31" s="30">
        <v>10</v>
      </c>
      <c r="Q31" s="30">
        <v>1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28">
        <f t="shared" si="4"/>
        <v>51</v>
      </c>
      <c r="AD31" s="27"/>
      <c r="AE31" s="27"/>
    </row>
    <row r="32" spans="1:31" ht="20.100000000000001" customHeight="1" x14ac:dyDescent="0.3">
      <c r="A32" s="17" t="s">
        <v>28</v>
      </c>
      <c r="B32" s="28">
        <v>1</v>
      </c>
      <c r="C32" s="28">
        <v>6</v>
      </c>
      <c r="D32" s="28">
        <v>6</v>
      </c>
      <c r="E32" s="28">
        <f>5+2</f>
        <v>7</v>
      </c>
      <c r="F32" s="28">
        <f>7+1</f>
        <v>8</v>
      </c>
      <c r="G32" s="28">
        <f>2+1</f>
        <v>3</v>
      </c>
      <c r="H32" s="29">
        <f>5+1</f>
        <v>6</v>
      </c>
      <c r="I32" s="29">
        <v>1</v>
      </c>
      <c r="J32" s="29">
        <v>3</v>
      </c>
      <c r="K32" s="30">
        <v>12</v>
      </c>
      <c r="L32" s="30">
        <v>5</v>
      </c>
      <c r="M32" s="30">
        <v>5</v>
      </c>
      <c r="N32" s="30">
        <v>3</v>
      </c>
      <c r="O32" s="30">
        <v>1</v>
      </c>
      <c r="P32" s="30">
        <v>5</v>
      </c>
      <c r="Q32" s="30">
        <v>2</v>
      </c>
      <c r="R32" s="30">
        <v>0</v>
      </c>
      <c r="S32" s="30">
        <v>2</v>
      </c>
      <c r="T32" s="30">
        <v>3</v>
      </c>
      <c r="U32" s="30">
        <v>0</v>
      </c>
      <c r="V32" s="30">
        <v>5</v>
      </c>
      <c r="W32" s="30">
        <v>2</v>
      </c>
      <c r="X32" s="30">
        <v>2</v>
      </c>
      <c r="Y32" s="30">
        <v>0</v>
      </c>
      <c r="Z32" s="30">
        <v>0</v>
      </c>
      <c r="AA32" s="30">
        <v>0</v>
      </c>
      <c r="AB32" s="30">
        <v>0</v>
      </c>
      <c r="AC32" s="28">
        <f t="shared" si="4"/>
        <v>88</v>
      </c>
      <c r="AD32" s="27"/>
      <c r="AE32" s="27"/>
    </row>
    <row r="33" spans="1:31" ht="20.100000000000001" customHeight="1" x14ac:dyDescent="0.3">
      <c r="A33" s="22" t="s">
        <v>29</v>
      </c>
      <c r="B33" s="28">
        <f>8+1</f>
        <v>9</v>
      </c>
      <c r="C33" s="28">
        <f>5+2</f>
        <v>7</v>
      </c>
      <c r="D33" s="28">
        <f>8+3</f>
        <v>11</v>
      </c>
      <c r="E33" s="28">
        <f>2+3</f>
        <v>5</v>
      </c>
      <c r="F33" s="28">
        <f>1+2</f>
        <v>3</v>
      </c>
      <c r="G33" s="28">
        <f>4+2</f>
        <v>6</v>
      </c>
      <c r="H33" s="29">
        <f>3+2</f>
        <v>5</v>
      </c>
      <c r="I33" s="29">
        <v>5</v>
      </c>
      <c r="J33" s="29">
        <v>12</v>
      </c>
      <c r="K33" s="30">
        <v>18</v>
      </c>
      <c r="L33" s="30">
        <v>0</v>
      </c>
      <c r="M33" s="30">
        <v>3</v>
      </c>
      <c r="N33" s="30">
        <v>9</v>
      </c>
      <c r="O33" s="30">
        <v>0</v>
      </c>
      <c r="P33" s="30">
        <v>0</v>
      </c>
      <c r="Q33" s="30">
        <v>1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1</v>
      </c>
      <c r="Y33" s="30">
        <v>5</v>
      </c>
      <c r="Z33" s="30">
        <v>0</v>
      </c>
      <c r="AA33" s="30">
        <v>0</v>
      </c>
      <c r="AB33" s="30">
        <v>0</v>
      </c>
      <c r="AC33" s="28">
        <f t="shared" si="4"/>
        <v>100</v>
      </c>
      <c r="AD33" s="27"/>
      <c r="AE33" s="27"/>
    </row>
    <row r="34" spans="1:31" ht="20.100000000000001" customHeight="1" x14ac:dyDescent="0.3">
      <c r="A34" s="17" t="s">
        <v>30</v>
      </c>
      <c r="B34" s="28">
        <v>19</v>
      </c>
      <c r="C34" s="28">
        <f>16+1</f>
        <v>17</v>
      </c>
      <c r="D34" s="28">
        <f>8+1</f>
        <v>9</v>
      </c>
      <c r="E34" s="28">
        <f>12+1</f>
        <v>13</v>
      </c>
      <c r="F34" s="28">
        <v>32</v>
      </c>
      <c r="G34" s="28">
        <f>11+1</f>
        <v>12</v>
      </c>
      <c r="H34" s="29">
        <v>15</v>
      </c>
      <c r="I34" s="29">
        <v>28</v>
      </c>
      <c r="J34" s="29">
        <v>0</v>
      </c>
      <c r="K34" s="30">
        <v>2</v>
      </c>
      <c r="L34" s="30">
        <v>8</v>
      </c>
      <c r="M34" s="30">
        <v>13</v>
      </c>
      <c r="N34" s="30">
        <v>21</v>
      </c>
      <c r="O34" s="30">
        <v>31</v>
      </c>
      <c r="P34" s="30">
        <v>6</v>
      </c>
      <c r="Q34" s="30">
        <v>4</v>
      </c>
      <c r="R34" s="30">
        <v>1</v>
      </c>
      <c r="S34" s="30">
        <v>2</v>
      </c>
      <c r="T34" s="30">
        <v>4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28">
        <f t="shared" si="4"/>
        <v>237</v>
      </c>
      <c r="AD34" s="27"/>
      <c r="AE34" s="27"/>
    </row>
    <row r="35" spans="1:31" ht="20.100000000000001" customHeight="1" x14ac:dyDescent="0.3">
      <c r="A35" s="17" t="s">
        <v>31</v>
      </c>
      <c r="B35" s="28">
        <f>37+1</f>
        <v>38</v>
      </c>
      <c r="C35" s="28">
        <f>8+1</f>
        <v>9</v>
      </c>
      <c r="D35" s="28">
        <f>15+1</f>
        <v>16</v>
      </c>
      <c r="E35" s="28">
        <f>22+1+1</f>
        <v>24</v>
      </c>
      <c r="F35" s="28">
        <v>12</v>
      </c>
      <c r="G35" s="28">
        <v>15</v>
      </c>
      <c r="H35" s="29">
        <f>9+1</f>
        <v>10</v>
      </c>
      <c r="I35" s="29">
        <v>10</v>
      </c>
      <c r="J35" s="29">
        <v>21</v>
      </c>
      <c r="K35" s="30">
        <v>4</v>
      </c>
      <c r="L35" s="30">
        <v>19</v>
      </c>
      <c r="M35" s="30">
        <v>14</v>
      </c>
      <c r="N35" s="30">
        <v>10</v>
      </c>
      <c r="O35" s="30">
        <v>6</v>
      </c>
      <c r="P35" s="30">
        <v>7</v>
      </c>
      <c r="Q35" s="30">
        <v>0</v>
      </c>
      <c r="R35" s="30">
        <v>6</v>
      </c>
      <c r="S35" s="30">
        <v>5</v>
      </c>
      <c r="T35" s="30">
        <v>16</v>
      </c>
      <c r="U35" s="30">
        <v>0</v>
      </c>
      <c r="V35" s="30">
        <v>3</v>
      </c>
      <c r="W35" s="30">
        <v>3</v>
      </c>
      <c r="X35" s="30">
        <v>25</v>
      </c>
      <c r="Y35" s="30">
        <v>18</v>
      </c>
      <c r="Z35" s="30">
        <v>14</v>
      </c>
      <c r="AA35" s="30">
        <v>13</v>
      </c>
      <c r="AB35" s="30">
        <v>10</v>
      </c>
      <c r="AC35" s="28">
        <f t="shared" si="4"/>
        <v>328</v>
      </c>
      <c r="AD35" s="27"/>
      <c r="AE35" s="27"/>
    </row>
    <row r="36" spans="1:31" ht="20.100000000000001" customHeight="1" x14ac:dyDescent="0.3">
      <c r="A36" s="17" t="s">
        <v>32</v>
      </c>
      <c r="B36" s="28">
        <v>15</v>
      </c>
      <c r="C36" s="28">
        <v>0</v>
      </c>
      <c r="D36" s="28">
        <v>0</v>
      </c>
      <c r="E36" s="28">
        <v>0</v>
      </c>
      <c r="F36" s="28">
        <v>0</v>
      </c>
      <c r="G36" s="28">
        <v>3</v>
      </c>
      <c r="H36" s="29">
        <v>2</v>
      </c>
      <c r="I36" s="29">
        <v>0</v>
      </c>
      <c r="J36" s="29">
        <v>4</v>
      </c>
      <c r="K36" s="30">
        <v>0</v>
      </c>
      <c r="L36" s="30">
        <v>6</v>
      </c>
      <c r="M36" s="30">
        <v>14</v>
      </c>
      <c r="N36" s="30">
        <v>9</v>
      </c>
      <c r="O36" s="30">
        <v>0</v>
      </c>
      <c r="P36" s="30">
        <v>0</v>
      </c>
      <c r="Q36" s="30">
        <v>1</v>
      </c>
      <c r="R36" s="30">
        <v>3</v>
      </c>
      <c r="S36" s="30">
        <v>0</v>
      </c>
      <c r="T36" s="30">
        <v>7</v>
      </c>
      <c r="U36" s="30">
        <v>2</v>
      </c>
      <c r="V36" s="30">
        <v>7</v>
      </c>
      <c r="W36" s="30">
        <v>7</v>
      </c>
      <c r="X36" s="30">
        <v>0</v>
      </c>
      <c r="Y36" s="30">
        <v>0</v>
      </c>
      <c r="Z36" s="30">
        <v>0</v>
      </c>
      <c r="AA36" s="30">
        <v>3</v>
      </c>
      <c r="AB36" s="30">
        <v>4</v>
      </c>
      <c r="AC36" s="28">
        <f t="shared" si="4"/>
        <v>87</v>
      </c>
      <c r="AD36" s="27"/>
      <c r="AE36" s="27"/>
    </row>
    <row r="37" spans="1:31" ht="20.100000000000001" customHeight="1" x14ac:dyDescent="0.3">
      <c r="A37" s="17" t="s">
        <v>33</v>
      </c>
      <c r="B37" s="28">
        <v>27</v>
      </c>
      <c r="C37" s="28">
        <v>21</v>
      </c>
      <c r="D37" s="28">
        <v>3</v>
      </c>
      <c r="E37" s="28">
        <v>15</v>
      </c>
      <c r="F37" s="28">
        <f>19+2</f>
        <v>21</v>
      </c>
      <c r="G37" s="28">
        <f>7+1</f>
        <v>8</v>
      </c>
      <c r="H37" s="29">
        <v>6</v>
      </c>
      <c r="I37" s="29">
        <v>5</v>
      </c>
      <c r="J37" s="29">
        <v>2</v>
      </c>
      <c r="K37" s="30">
        <v>1</v>
      </c>
      <c r="L37" s="30">
        <v>0</v>
      </c>
      <c r="M37" s="30">
        <v>4</v>
      </c>
      <c r="N37" s="30">
        <v>4</v>
      </c>
      <c r="O37" s="30">
        <v>1</v>
      </c>
      <c r="P37" s="30">
        <v>21</v>
      </c>
      <c r="Q37" s="30">
        <v>38</v>
      </c>
      <c r="R37" s="30">
        <v>6</v>
      </c>
      <c r="S37" s="30">
        <v>0</v>
      </c>
      <c r="T37" s="30">
        <v>0</v>
      </c>
      <c r="U37" s="30">
        <v>0</v>
      </c>
      <c r="V37" s="30">
        <v>0</v>
      </c>
      <c r="W37" s="30">
        <v>6</v>
      </c>
      <c r="X37" s="30">
        <v>0</v>
      </c>
      <c r="Y37" s="30">
        <v>0</v>
      </c>
      <c r="Z37" s="30">
        <v>0</v>
      </c>
      <c r="AA37" s="30">
        <v>0</v>
      </c>
      <c r="AB37" s="30">
        <v>3</v>
      </c>
      <c r="AC37" s="28">
        <f t="shared" si="4"/>
        <v>192</v>
      </c>
      <c r="AD37" s="27"/>
      <c r="AE37" s="27"/>
    </row>
    <row r="38" spans="1:31" ht="20.100000000000001" customHeight="1" x14ac:dyDescent="0.3">
      <c r="A38" s="17" t="s">
        <v>34</v>
      </c>
      <c r="B38" s="28">
        <v>1</v>
      </c>
      <c r="C38" s="28">
        <v>17</v>
      </c>
      <c r="D38" s="28">
        <v>0</v>
      </c>
      <c r="E38" s="28">
        <v>0</v>
      </c>
      <c r="F38" s="28">
        <v>0</v>
      </c>
      <c r="G38" s="28">
        <v>0</v>
      </c>
      <c r="H38" s="29">
        <v>0</v>
      </c>
      <c r="I38" s="29">
        <v>0</v>
      </c>
      <c r="J38" s="29">
        <v>0</v>
      </c>
      <c r="K38" s="30">
        <v>0</v>
      </c>
      <c r="L38" s="30">
        <v>0</v>
      </c>
      <c r="M38" s="30">
        <v>12</v>
      </c>
      <c r="N38" s="30">
        <v>9</v>
      </c>
      <c r="O38" s="30">
        <v>0</v>
      </c>
      <c r="P38" s="30">
        <v>0</v>
      </c>
      <c r="Q38" s="30">
        <v>6</v>
      </c>
      <c r="R38" s="30">
        <v>0</v>
      </c>
      <c r="S38" s="30">
        <v>0</v>
      </c>
      <c r="T38" s="30">
        <v>5</v>
      </c>
      <c r="U38" s="30">
        <v>1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28">
        <f t="shared" si="4"/>
        <v>51</v>
      </c>
      <c r="AD38" s="27"/>
      <c r="AE38" s="27"/>
    </row>
    <row r="39" spans="1:31" ht="20.100000000000001" customHeight="1" x14ac:dyDescent="0.3">
      <c r="A39" s="17" t="s">
        <v>35</v>
      </c>
      <c r="B39" s="28">
        <v>36</v>
      </c>
      <c r="C39" s="28">
        <v>8</v>
      </c>
      <c r="D39" s="28">
        <f>31+1</f>
        <v>32</v>
      </c>
      <c r="E39" s="28">
        <v>38</v>
      </c>
      <c r="F39" s="28">
        <f>25+1</f>
        <v>26</v>
      </c>
      <c r="G39" s="28">
        <f>45+1</f>
        <v>46</v>
      </c>
      <c r="H39" s="29">
        <v>80</v>
      </c>
      <c r="I39" s="29">
        <v>32</v>
      </c>
      <c r="J39" s="29">
        <v>139</v>
      </c>
      <c r="K39" s="30">
        <v>103</v>
      </c>
      <c r="L39" s="30">
        <v>31</v>
      </c>
      <c r="M39" s="30">
        <v>100</v>
      </c>
      <c r="N39" s="30">
        <v>63</v>
      </c>
      <c r="O39" s="30">
        <v>26</v>
      </c>
      <c r="P39" s="30">
        <v>72</v>
      </c>
      <c r="Q39" s="30">
        <v>49</v>
      </c>
      <c r="R39" s="30">
        <v>24</v>
      </c>
      <c r="S39" s="30">
        <v>10</v>
      </c>
      <c r="T39" s="30">
        <v>1</v>
      </c>
      <c r="U39" s="30">
        <v>9</v>
      </c>
      <c r="V39" s="30">
        <v>32</v>
      </c>
      <c r="W39" s="30">
        <v>9</v>
      </c>
      <c r="X39" s="30">
        <v>29</v>
      </c>
      <c r="Y39" s="30">
        <v>13</v>
      </c>
      <c r="Z39" s="30">
        <v>7</v>
      </c>
      <c r="AA39" s="30">
        <v>0</v>
      </c>
      <c r="AB39" s="30">
        <v>0</v>
      </c>
      <c r="AC39" s="28">
        <f t="shared" si="4"/>
        <v>1015</v>
      </c>
      <c r="AD39" s="27"/>
      <c r="AE39" s="27"/>
    </row>
    <row r="40" spans="1:31" ht="20.100000000000001" customHeight="1" x14ac:dyDescent="0.3">
      <c r="A40" s="22" t="s">
        <v>36</v>
      </c>
      <c r="B40" s="28">
        <v>44</v>
      </c>
      <c r="C40" s="28">
        <v>0</v>
      </c>
      <c r="D40" s="28">
        <f>1+2</f>
        <v>3</v>
      </c>
      <c r="E40" s="28">
        <v>16</v>
      </c>
      <c r="F40" s="28">
        <v>5</v>
      </c>
      <c r="G40" s="28">
        <v>33</v>
      </c>
      <c r="H40" s="29">
        <v>20</v>
      </c>
      <c r="I40" s="29">
        <v>1</v>
      </c>
      <c r="J40" s="29">
        <v>4</v>
      </c>
      <c r="K40" s="30">
        <v>21</v>
      </c>
      <c r="L40" s="30">
        <v>7</v>
      </c>
      <c r="M40" s="30">
        <v>2</v>
      </c>
      <c r="N40" s="30">
        <v>0</v>
      </c>
      <c r="O40" s="30">
        <v>10</v>
      </c>
      <c r="P40" s="30">
        <v>2</v>
      </c>
      <c r="Q40" s="30">
        <v>0</v>
      </c>
      <c r="R40" s="30">
        <v>0</v>
      </c>
      <c r="S40" s="30">
        <v>1</v>
      </c>
      <c r="T40" s="30">
        <v>0</v>
      </c>
      <c r="U40" s="30">
        <v>0</v>
      </c>
      <c r="V40" s="30">
        <v>1</v>
      </c>
      <c r="W40" s="30">
        <v>0</v>
      </c>
      <c r="X40" s="30">
        <v>2</v>
      </c>
      <c r="Y40" s="30">
        <v>1</v>
      </c>
      <c r="Z40" s="30">
        <v>0</v>
      </c>
      <c r="AA40" s="30">
        <v>0</v>
      </c>
      <c r="AB40" s="30">
        <v>15</v>
      </c>
      <c r="AC40" s="28">
        <f t="shared" si="4"/>
        <v>188</v>
      </c>
      <c r="AD40" s="27"/>
      <c r="AE40" s="27"/>
    </row>
    <row r="41" spans="1:31" ht="20.100000000000001" customHeight="1" x14ac:dyDescent="0.3">
      <c r="A41" s="17" t="s">
        <v>37</v>
      </c>
      <c r="B41" s="28">
        <v>0</v>
      </c>
      <c r="C41" s="28">
        <v>1</v>
      </c>
      <c r="D41" s="28">
        <v>2</v>
      </c>
      <c r="E41" s="28">
        <v>10</v>
      </c>
      <c r="F41" s="28">
        <v>18</v>
      </c>
      <c r="G41" s="28">
        <v>10</v>
      </c>
      <c r="H41" s="29">
        <v>13</v>
      </c>
      <c r="I41" s="29">
        <v>15</v>
      </c>
      <c r="J41" s="29">
        <v>9</v>
      </c>
      <c r="K41" s="30">
        <v>4</v>
      </c>
      <c r="L41" s="30">
        <v>0</v>
      </c>
      <c r="M41" s="30">
        <v>0</v>
      </c>
      <c r="N41" s="30">
        <v>7</v>
      </c>
      <c r="O41" s="30">
        <v>23</v>
      </c>
      <c r="P41" s="30">
        <v>1</v>
      </c>
      <c r="Q41" s="30">
        <v>7</v>
      </c>
      <c r="R41" s="30">
        <v>0</v>
      </c>
      <c r="S41" s="30">
        <v>6</v>
      </c>
      <c r="T41" s="30">
        <v>2</v>
      </c>
      <c r="U41" s="30">
        <v>0</v>
      </c>
      <c r="V41" s="30">
        <v>3</v>
      </c>
      <c r="W41" s="30">
        <v>0</v>
      </c>
      <c r="X41" s="30">
        <v>0</v>
      </c>
      <c r="Y41" s="30">
        <v>1</v>
      </c>
      <c r="Z41" s="30">
        <v>0</v>
      </c>
      <c r="AA41" s="30">
        <v>0</v>
      </c>
      <c r="AB41" s="30">
        <v>0</v>
      </c>
      <c r="AC41" s="28">
        <f t="shared" si="4"/>
        <v>132</v>
      </c>
      <c r="AD41" s="27"/>
      <c r="AE41" s="27"/>
    </row>
    <row r="42" spans="1:31" ht="19.5" customHeight="1" x14ac:dyDescent="0.3">
      <c r="A42" s="31" t="s">
        <v>39</v>
      </c>
    </row>
  </sheetData>
  <autoFilter ref="A7:AC42" xr:uid="{00000000-0009-0000-0000-000001000000}"/>
  <mergeCells count="7">
    <mergeCell ref="A7:A8"/>
    <mergeCell ref="AC7:AC8"/>
    <mergeCell ref="A1:AC1"/>
    <mergeCell ref="A2:AC2"/>
    <mergeCell ref="A4:AC4"/>
    <mergeCell ref="A6:AC6"/>
    <mergeCell ref="A5:AC5"/>
  </mergeCells>
  <phoneticPr fontId="0" type="noConversion"/>
  <printOptions horizontalCentered="1"/>
  <pageMargins left="0" right="0" top="0.39370078740157483" bottom="0.39370078740157483" header="0" footer="0"/>
  <pageSetup scale="75" orientation="landscape" verticalDpi="0" r:id="rId1"/>
  <headerFooter alignWithMargins="0">
    <oddFooter>&amp;L&amp;"Verdana,Normal"Fuente: GACEME y SOCRSP
&amp;C&amp;"Verdana,Normal"Página &amp;P de &amp;N&amp;R&amp;"Verdana,Normal"&amp;F 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Total Desembolsado</vt:lpstr>
      <vt:lpstr>Creditos Desembolsados</vt:lpstr>
      <vt:lpstr>'Creditos Desembolsados'!Área_de_impresión</vt:lpstr>
      <vt:lpstr>'Total Desembolsado'!Área_de_impresión</vt:lpstr>
      <vt:lpstr>'Creditos Desembolsados'!Títulos_a_imprimir</vt:lpstr>
      <vt:lpstr>'Total Desembolsado'!Títulos_a_imprimir</vt:lpstr>
    </vt:vector>
  </TitlesOfParts>
  <Company>Banobras,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Alcántara Cárdenas, Edwin Gustavo</cp:lastModifiedBy>
  <cp:lastPrinted>2011-04-06T20:04:33Z</cp:lastPrinted>
  <dcterms:created xsi:type="dcterms:W3CDTF">2007-03-28T15:44:28Z</dcterms:created>
  <dcterms:modified xsi:type="dcterms:W3CDTF">2026-07-06T21:14:16Z</dcterms:modified>
</cp:coreProperties>
</file>