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01. Comunicación 2017\13. Portal Institucional\4. Abril\Transparencia focalizada\"/>
    </mc:Choice>
  </mc:AlternateContent>
  <bookViews>
    <workbookView xWindow="9600" yWindow="-15" windowWidth="9645" windowHeight="11310"/>
  </bookViews>
  <sheets>
    <sheet name="Total Desembolsado" sheetId="2" r:id="rId1"/>
  </sheets>
  <definedNames>
    <definedName name="_xlnm.Print_Area" localSheetId="0">'Total Desembolsado'!$A$4:$T$42</definedName>
    <definedName name="_xlnm.Print_Titles" localSheetId="0">'Total Desembolsado'!$1:$3</definedName>
  </definedNames>
  <calcPr calcId="152511"/>
</workbook>
</file>

<file path=xl/calcChain.xml><?xml version="1.0" encoding="utf-8"?>
<calcChain xmlns="http://schemas.openxmlformats.org/spreadsheetml/2006/main">
  <c r="R9" i="2" l="1"/>
  <c r="Q9" i="2" l="1"/>
  <c r="P9" i="2" l="1"/>
  <c r="O9" i="2" l="1"/>
  <c r="S9" i="2" l="1"/>
  <c r="T41" i="2" l="1"/>
  <c r="T38" i="2"/>
  <c r="T36" i="2"/>
  <c r="T26" i="2"/>
  <c r="T22" i="2"/>
  <c r="T20" i="2"/>
  <c r="T16" i="2"/>
  <c r="T15" i="2"/>
  <c r="T13" i="2"/>
  <c r="T10" i="2"/>
  <c r="N9" i="2" l="1"/>
  <c r="M9" i="2"/>
  <c r="L9" i="2" l="1"/>
  <c r="K9" i="2" l="1"/>
  <c r="H37" i="2"/>
  <c r="H33" i="2"/>
  <c r="H32" i="2"/>
  <c r="H31" i="2"/>
  <c r="T31" i="2" s="1"/>
  <c r="H30" i="2"/>
  <c r="H29" i="2"/>
  <c r="H27" i="2"/>
  <c r="H25" i="2"/>
  <c r="H24" i="2"/>
  <c r="H23" i="2"/>
  <c r="H21" i="2"/>
  <c r="H17" i="2"/>
  <c r="H12" i="2"/>
  <c r="H11" i="2"/>
  <c r="H18" i="2"/>
  <c r="I9" i="2"/>
  <c r="B11" i="2"/>
  <c r="G11" i="2"/>
  <c r="G12" i="2"/>
  <c r="T12" i="2" s="1"/>
  <c r="C14" i="2"/>
  <c r="D14" i="2"/>
  <c r="E14" i="2"/>
  <c r="G14" i="2"/>
  <c r="B17" i="2"/>
  <c r="F17" i="2"/>
  <c r="G17" i="2"/>
  <c r="B18" i="2"/>
  <c r="C18" i="2"/>
  <c r="D18" i="2"/>
  <c r="E18" i="2"/>
  <c r="F18" i="2"/>
  <c r="G18" i="2"/>
  <c r="C19" i="2"/>
  <c r="D19" i="2"/>
  <c r="G19" i="2"/>
  <c r="D21" i="2"/>
  <c r="B23" i="2"/>
  <c r="C23" i="2"/>
  <c r="D23" i="2"/>
  <c r="E23" i="2"/>
  <c r="F23" i="2"/>
  <c r="G23" i="2"/>
  <c r="B24" i="2"/>
  <c r="C24" i="2"/>
  <c r="D24" i="2"/>
  <c r="E24" i="2"/>
  <c r="F24" i="2"/>
  <c r="G24" i="2"/>
  <c r="G25" i="2"/>
  <c r="F27" i="2"/>
  <c r="G27" i="2"/>
  <c r="G28" i="2"/>
  <c r="T28" i="2" s="1"/>
  <c r="E29" i="2"/>
  <c r="F29" i="2"/>
  <c r="G29" i="2"/>
  <c r="B30" i="2"/>
  <c r="C30" i="2"/>
  <c r="G30" i="2"/>
  <c r="E32" i="2"/>
  <c r="F32" i="2"/>
  <c r="G32" i="2"/>
  <c r="B33" i="2"/>
  <c r="C33" i="2"/>
  <c r="D33" i="2"/>
  <c r="E33" i="2"/>
  <c r="F33" i="2"/>
  <c r="G33" i="2"/>
  <c r="C34" i="2"/>
  <c r="D34" i="2"/>
  <c r="E34" i="2"/>
  <c r="G34" i="2"/>
  <c r="B35" i="2"/>
  <c r="C35" i="2"/>
  <c r="D35" i="2"/>
  <c r="E35" i="2"/>
  <c r="F37" i="2"/>
  <c r="G37" i="2"/>
  <c r="D39" i="2"/>
  <c r="F39" i="2"/>
  <c r="G39" i="2"/>
  <c r="D40" i="2"/>
  <c r="T40" i="2" s="1"/>
  <c r="T25" i="2" l="1"/>
  <c r="T21" i="2"/>
  <c r="T32" i="2"/>
  <c r="T29" i="2"/>
  <c r="T24" i="2"/>
  <c r="T23" i="2"/>
  <c r="T19" i="2"/>
  <c r="T18" i="2"/>
  <c r="T11" i="2"/>
  <c r="T39" i="2"/>
  <c r="T37" i="2"/>
  <c r="T35" i="2"/>
  <c r="T34" i="2"/>
  <c r="T33" i="2"/>
  <c r="T30" i="2"/>
  <c r="T27" i="2"/>
  <c r="T17" i="2"/>
  <c r="T14" i="2"/>
  <c r="B9" i="2"/>
  <c r="F9" i="2"/>
  <c r="H9" i="2"/>
  <c r="G9" i="2"/>
  <c r="D9" i="2"/>
  <c r="E9" i="2"/>
  <c r="C9" i="2"/>
  <c r="J9" i="2"/>
  <c r="T9" i="2" l="1"/>
</calcChain>
</file>

<file path=xl/sharedStrings.xml><?xml version="1.0" encoding="utf-8"?>
<sst xmlns="http://schemas.openxmlformats.org/spreadsheetml/2006/main" count="58" uniqueCount="41">
  <si>
    <t>BANCO NACIONAL DE OBRAS Y SERVICIOS PUBLICOS, S.N.C.</t>
  </si>
  <si>
    <t>INSTITUCION DE BANCA DE DESARROLLO</t>
  </si>
  <si>
    <t>CIFRAS EN MONEDA NACIONAL</t>
  </si>
  <si>
    <t>CONCEPTO</t>
  </si>
  <si>
    <t>DIC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</si>
  <si>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</si>
  <si>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</si>
  <si>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</si>
  <si>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</si>
  <si>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</si>
  <si>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</si>
  <si>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</si>
  <si>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</si>
  <si>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</si>
  <si>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</si>
  <si>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</si>
  <si>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</si>
  <si>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</si>
  <si>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</si>
  <si>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</si>
  <si>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</si>
  <si>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</si>
  <si>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</si>
  <si>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</si>
  <si>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</si>
  <si>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</si>
  <si>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</si>
  <si>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</si>
  <si>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</si>
  <si>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</si>
  <si>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</si>
  <si>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</si>
  <si>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</si>
  <si>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</si>
  <si>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</si>
  <si>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</si>
  <si>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</si>
  <si>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</si>
  <si>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( por situación geográfica)</t>
  </si>
  <si>
    <t>MZO</t>
  </si>
  <si>
    <t>TOTAL OTORGADO DE 2000  A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</si>
</sst>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name val="Arial"/>
    </font>
    <font>
      <sz val="8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centerContinuous"/>
    </xf>
    <xf numFmtId="4" fontId="4" fillId="0" borderId="2" xfId="0" applyNumberFormat="1" applyFont="1" applyBorder="1" applyAlignment="1">
      <alignment horizontal="center" vertical="center" wrapText="1"/>
    </xf>
    <xf numFmtId="4" fontId="6" fillId="0" borderId="2" xfId="2" applyNumberFormat="1" applyFont="1" applyBorder="1" applyAlignment="1">
      <alignment horizontal="right" vertical="center" wrapText="1"/>
    </xf>
    <xf numFmtId="43" fontId="6" fillId="0" borderId="0" xfId="2" applyFont="1"/>
    <xf numFmtId="43" fontId="6" fillId="0" borderId="0" xfId="0" applyNumberFormat="1" applyFont="1"/>
    <xf numFmtId="43" fontId="6" fillId="0" borderId="0" xfId="2" applyFont="1" applyFill="1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4" fillId="0" borderId="1" xfId="0" quotePrefix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46"/>
  <sheetViews>
    <sheetView showGridLines="0" showZero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0.5" x14ac:dyDescent="0.15"/>
  <cols>
    <col min="1" max="1" width="28.83203125" style="3" customWidth="1"/>
    <col min="2" max="7" width="21.5" style="3" bestFit="1" customWidth="1"/>
    <col min="8" max="8" width="21.5" style="15" customWidth="1"/>
    <col min="9" max="9" width="21.5" style="15" bestFit="1" customWidth="1"/>
    <col min="10" max="19" width="21.5" style="15" customWidth="1"/>
    <col min="20" max="20" width="22.83203125" style="3" bestFit="1" customWidth="1"/>
    <col min="21" max="21" width="17.83203125" style="3" bestFit="1" customWidth="1"/>
    <col min="22" max="23" width="19.6640625" style="3" bestFit="1" customWidth="1"/>
    <col min="24" max="16384" width="12" style="3"/>
  </cols>
  <sheetData>
    <row r="1" spans="1:23" s="1" customFormat="1" ht="18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3" s="2" customForma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3" s="2" customFormat="1" x14ac:dyDescent="0.15"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3" ht="11.25" x14ac:dyDescent="0.15">
      <c r="A4" s="31" t="s">
        <v>40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3" x14ac:dyDescent="0.15">
      <c r="A5" s="9" t="s">
        <v>38</v>
      </c>
      <c r="B5" s="9"/>
      <c r="C5" s="9"/>
      <c r="D5" s="9"/>
      <c r="E5" s="9"/>
      <c r="F5" s="9"/>
      <c r="G5" s="9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9"/>
    </row>
    <row r="6" spans="1:23" ht="11.25" x14ac:dyDescent="0.15">
      <c r="A6" s="33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3" ht="10.5" customHeight="1" x14ac:dyDescent="0.15">
      <c r="A7" s="25" t="s">
        <v>3</v>
      </c>
      <c r="B7" s="4" t="s">
        <v>4</v>
      </c>
      <c r="C7" s="4" t="s">
        <v>4</v>
      </c>
      <c r="D7" s="4" t="s">
        <v>4</v>
      </c>
      <c r="E7" s="4" t="s">
        <v>4</v>
      </c>
      <c r="F7" s="4" t="s">
        <v>4</v>
      </c>
      <c r="G7" s="4" t="s">
        <v>4</v>
      </c>
      <c r="H7" s="18" t="s">
        <v>4</v>
      </c>
      <c r="I7" s="23" t="s">
        <v>4</v>
      </c>
      <c r="J7" s="24" t="s">
        <v>4</v>
      </c>
      <c r="K7" s="18" t="s">
        <v>4</v>
      </c>
      <c r="L7" s="18" t="s">
        <v>4</v>
      </c>
      <c r="M7" s="18" t="s">
        <v>4</v>
      </c>
      <c r="N7" s="18" t="s">
        <v>4</v>
      </c>
      <c r="O7" s="18" t="s">
        <v>4</v>
      </c>
      <c r="P7" s="18" t="s">
        <v>4</v>
      </c>
      <c r="Q7" s="18" t="s">
        <v>4</v>
      </c>
      <c r="R7" s="18" t="s">
        <v>4</v>
      </c>
      <c r="S7" s="18" t="s">
        <v>39</v>
      </c>
      <c r="T7" s="27" t="s">
        <v>5</v>
      </c>
    </row>
    <row r="8" spans="1:23" ht="10.5" customHeight="1" x14ac:dyDescent="0.15">
      <c r="A8" s="26"/>
      <c r="B8" s="5">
        <v>2000</v>
      </c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19">
        <v>2006</v>
      </c>
      <c r="I8" s="19">
        <v>2007</v>
      </c>
      <c r="J8" s="19">
        <v>2008</v>
      </c>
      <c r="K8" s="19">
        <v>2009</v>
      </c>
      <c r="L8" s="19">
        <v>2010</v>
      </c>
      <c r="M8" s="19">
        <v>2011</v>
      </c>
      <c r="N8" s="19">
        <v>2012</v>
      </c>
      <c r="O8" s="19">
        <v>2013</v>
      </c>
      <c r="P8" s="19">
        <v>2014</v>
      </c>
      <c r="Q8" s="19">
        <v>2015</v>
      </c>
      <c r="R8" s="19">
        <v>2016</v>
      </c>
      <c r="S8" s="19">
        <v>2017</v>
      </c>
      <c r="T8" s="28"/>
    </row>
    <row r="9" spans="1:23" ht="19.5" customHeight="1" x14ac:dyDescent="0.15">
      <c r="A9" s="6" t="s">
        <v>5</v>
      </c>
      <c r="B9" s="10">
        <f t="shared" ref="B9:J9" si="0">SUM(B10:B41)</f>
        <v>13965956341.410002</v>
      </c>
      <c r="C9" s="10">
        <f t="shared" si="0"/>
        <v>10452769213.51</v>
      </c>
      <c r="D9" s="10">
        <f t="shared" si="0"/>
        <v>26765007288.130005</v>
      </c>
      <c r="E9" s="10">
        <f t="shared" si="0"/>
        <v>11314869758.579998</v>
      </c>
      <c r="F9" s="10">
        <f t="shared" si="0"/>
        <v>14021399104.190002</v>
      </c>
      <c r="G9" s="10">
        <f t="shared" si="0"/>
        <v>10309017175.740625</v>
      </c>
      <c r="H9" s="20">
        <f t="shared" si="0"/>
        <v>10247201130.701998</v>
      </c>
      <c r="I9" s="20">
        <f t="shared" si="0"/>
        <v>29234889966.930046</v>
      </c>
      <c r="J9" s="20">
        <f t="shared" si="0"/>
        <v>19694713103.928761</v>
      </c>
      <c r="K9" s="20">
        <f t="shared" ref="K9:L9" si="1">SUM(K10:K41)</f>
        <v>42159420952.712463</v>
      </c>
      <c r="L9" s="20">
        <f t="shared" si="1"/>
        <v>25875458409.821033</v>
      </c>
      <c r="M9" s="20">
        <f t="shared" ref="M9" si="2">SUM(M10:M41)</f>
        <v>55906952569.089958</v>
      </c>
      <c r="N9" s="20">
        <f t="shared" ref="N9" si="3">SUM(N10:N41)</f>
        <v>67297355736.465477</v>
      </c>
      <c r="O9" s="20">
        <f t="shared" ref="O9:S9" si="4">SUM(O10:O41)</f>
        <v>62869920557.145287</v>
      </c>
      <c r="P9" s="20">
        <f t="shared" ref="P9:R9" si="5">SUM(P10:P41)</f>
        <v>70764260214.63002</v>
      </c>
      <c r="Q9" s="20">
        <f t="shared" si="5"/>
        <v>58535281269.029984</v>
      </c>
      <c r="R9" s="20">
        <f t="shared" si="5"/>
        <v>59831157948.099998</v>
      </c>
      <c r="S9" s="20">
        <f t="shared" si="4"/>
        <v>9317932160.2700005</v>
      </c>
      <c r="T9" s="20">
        <f t="shared" ref="T9" si="6">SUM(T10:T41)</f>
        <v>598563562900.38574</v>
      </c>
      <c r="U9" s="13"/>
      <c r="V9" s="13"/>
      <c r="W9" s="13"/>
    </row>
    <row r="10" spans="1:23" ht="19.5" customHeight="1" x14ac:dyDescent="0.15">
      <c r="A10" s="7" t="s">
        <v>6</v>
      </c>
      <c r="B10" s="11">
        <v>7260912.4000000004</v>
      </c>
      <c r="C10" s="11">
        <v>8446286.2599999998</v>
      </c>
      <c r="D10" s="11">
        <v>152281212.34999999</v>
      </c>
      <c r="E10" s="11">
        <v>143894770.03</v>
      </c>
      <c r="F10" s="11">
        <v>7928415.8700000001</v>
      </c>
      <c r="G10" s="11">
        <v>18148692.509999998</v>
      </c>
      <c r="H10" s="21">
        <v>10889000</v>
      </c>
      <c r="I10" s="21">
        <v>6911000</v>
      </c>
      <c r="J10" s="21">
        <v>108904171.42300001</v>
      </c>
      <c r="K10" s="21">
        <v>225805894.72</v>
      </c>
      <c r="L10" s="21">
        <v>48300000</v>
      </c>
      <c r="M10" s="21">
        <v>361634522.56999999</v>
      </c>
      <c r="N10" s="21">
        <v>507965468.16999996</v>
      </c>
      <c r="O10" s="21">
        <v>328700000</v>
      </c>
      <c r="P10" s="21">
        <v>26843737.040000003</v>
      </c>
      <c r="Q10" s="21">
        <v>224447594</v>
      </c>
      <c r="R10" s="21">
        <v>154100000</v>
      </c>
      <c r="S10" s="21">
        <v>0</v>
      </c>
      <c r="T10" s="21">
        <f t="shared" ref="T10:T41" si="7">SUM(B10:S10)</f>
        <v>2342461677.3429999</v>
      </c>
      <c r="U10" s="12"/>
      <c r="V10" s="22"/>
      <c r="W10" s="13"/>
    </row>
    <row r="11" spans="1:23" ht="19.5" customHeight="1" x14ac:dyDescent="0.15">
      <c r="A11" s="7" t="s">
        <v>7</v>
      </c>
      <c r="B11" s="11">
        <f>150033014.25+121800000</f>
        <v>271833014.25</v>
      </c>
      <c r="C11" s="11">
        <v>18800000</v>
      </c>
      <c r="D11" s="11">
        <v>0</v>
      </c>
      <c r="E11" s="11">
        <v>102750000</v>
      </c>
      <c r="F11" s="11">
        <v>123198764.94</v>
      </c>
      <c r="G11" s="11">
        <f>66673103.65+66400000</f>
        <v>133073103.65000001</v>
      </c>
      <c r="H11" s="21">
        <f>145189750+77300000</f>
        <v>222489750</v>
      </c>
      <c r="I11" s="21">
        <v>488840267.37</v>
      </c>
      <c r="J11" s="21">
        <v>130866035.69</v>
      </c>
      <c r="K11" s="21">
        <v>474351006.66999996</v>
      </c>
      <c r="L11" s="21">
        <v>326667321.07999998</v>
      </c>
      <c r="M11" s="21">
        <v>1899930244.0500002</v>
      </c>
      <c r="N11" s="21">
        <v>665369194.42000008</v>
      </c>
      <c r="O11" s="21">
        <v>544474163.63</v>
      </c>
      <c r="P11" s="21">
        <v>452272348.48000002</v>
      </c>
      <c r="Q11" s="21">
        <v>143630889.69999999</v>
      </c>
      <c r="R11" s="21">
        <v>444760219.12</v>
      </c>
      <c r="S11" s="21">
        <v>0</v>
      </c>
      <c r="T11" s="21">
        <f t="shared" si="7"/>
        <v>6443306323.0500011</v>
      </c>
      <c r="U11" s="12"/>
      <c r="V11" s="22"/>
      <c r="W11" s="13"/>
    </row>
    <row r="12" spans="1:23" ht="19.5" customHeight="1" x14ac:dyDescent="0.15">
      <c r="A12" s="7" t="s">
        <v>8</v>
      </c>
      <c r="B12" s="11">
        <v>109477056.31999999</v>
      </c>
      <c r="C12" s="11">
        <v>181334238.59</v>
      </c>
      <c r="D12" s="11">
        <v>138054930.47</v>
      </c>
      <c r="E12" s="11">
        <v>73973701.739999995</v>
      </c>
      <c r="F12" s="11">
        <v>40000000</v>
      </c>
      <c r="G12" s="11">
        <f>89847565.4+41000000</f>
        <v>130847565.40000001</v>
      </c>
      <c r="H12" s="21">
        <f>140954799.996+67200000</f>
        <v>208154799.99599999</v>
      </c>
      <c r="I12" s="21">
        <v>30154844.510000002</v>
      </c>
      <c r="J12" s="21">
        <v>0</v>
      </c>
      <c r="K12" s="21">
        <v>150871788.09999999</v>
      </c>
      <c r="L12" s="21">
        <v>143284963.41999999</v>
      </c>
      <c r="M12" s="21">
        <v>20307520.530000001</v>
      </c>
      <c r="N12" s="21">
        <v>35009944.619999997</v>
      </c>
      <c r="O12" s="21">
        <v>21000000</v>
      </c>
      <c r="P12" s="21">
        <v>14707382</v>
      </c>
      <c r="Q12" s="21">
        <v>706100057.04000008</v>
      </c>
      <c r="R12" s="21">
        <v>0</v>
      </c>
      <c r="S12" s="21">
        <v>88458905</v>
      </c>
      <c r="T12" s="21">
        <f t="shared" si="7"/>
        <v>2091737697.7360001</v>
      </c>
      <c r="U12" s="12"/>
      <c r="V12" s="22"/>
      <c r="W12" s="13"/>
    </row>
    <row r="13" spans="1:23" ht="19.5" customHeight="1" x14ac:dyDescent="0.15">
      <c r="A13" s="7" t="s">
        <v>9</v>
      </c>
      <c r="B13" s="11">
        <v>7218584.4800000004</v>
      </c>
      <c r="C13" s="11">
        <v>8926200.3900000006</v>
      </c>
      <c r="D13" s="11">
        <v>1114867.81</v>
      </c>
      <c r="E13" s="11">
        <v>0</v>
      </c>
      <c r="F13" s="11">
        <v>31369635.02</v>
      </c>
      <c r="G13" s="11">
        <v>58537186.840000004</v>
      </c>
      <c r="H13" s="21">
        <v>2637561.25</v>
      </c>
      <c r="I13" s="21">
        <v>61825519.590000004</v>
      </c>
      <c r="J13" s="21">
        <v>39946900</v>
      </c>
      <c r="K13" s="21">
        <v>13000000</v>
      </c>
      <c r="L13" s="21">
        <v>191667770.5</v>
      </c>
      <c r="M13" s="21">
        <v>61777479.149999999</v>
      </c>
      <c r="N13" s="21">
        <v>170449015</v>
      </c>
      <c r="O13" s="21">
        <v>302347484.09000003</v>
      </c>
      <c r="P13" s="21">
        <v>248486372.78999996</v>
      </c>
      <c r="Q13" s="21">
        <v>19250656.289999999</v>
      </c>
      <c r="R13" s="21">
        <v>61497997.820000008</v>
      </c>
      <c r="S13" s="21">
        <v>0</v>
      </c>
      <c r="T13" s="21">
        <f t="shared" si="7"/>
        <v>1280053231.0199997</v>
      </c>
      <c r="U13" s="12"/>
      <c r="V13" s="22"/>
      <c r="W13" s="13"/>
    </row>
    <row r="14" spans="1:23" ht="19.5" customHeight="1" x14ac:dyDescent="0.15">
      <c r="A14" s="7" t="s">
        <v>10</v>
      </c>
      <c r="B14" s="11">
        <v>151859356.46000001</v>
      </c>
      <c r="C14" s="11">
        <f>2040.73+183700000</f>
        <v>183702040.72999999</v>
      </c>
      <c r="D14" s="11">
        <f>251498.02+93900000</f>
        <v>94151498.019999996</v>
      </c>
      <c r="E14" s="11">
        <f>12659874.88+1600000</f>
        <v>14259874.880000001</v>
      </c>
      <c r="F14" s="11">
        <v>67574950.349999994</v>
      </c>
      <c r="G14" s="11">
        <f>130753710.88+252000000</f>
        <v>382753710.88</v>
      </c>
      <c r="H14" s="21">
        <v>6140955.3499999996</v>
      </c>
      <c r="I14" s="21">
        <v>31763079.640000001</v>
      </c>
      <c r="J14" s="21">
        <v>395040421.56</v>
      </c>
      <c r="K14" s="21">
        <v>823541189.04999995</v>
      </c>
      <c r="L14" s="21">
        <v>139558480.18000001</v>
      </c>
      <c r="M14" s="21">
        <v>253117251.88000003</v>
      </c>
      <c r="N14" s="21">
        <v>169267215.88</v>
      </c>
      <c r="O14" s="21">
        <v>720828666.28999996</v>
      </c>
      <c r="P14" s="21">
        <v>5082978.51</v>
      </c>
      <c r="Q14" s="21">
        <v>3528465103.8000002</v>
      </c>
      <c r="R14" s="21">
        <v>21480272.949999999</v>
      </c>
      <c r="S14" s="21">
        <v>21874671.439999998</v>
      </c>
      <c r="T14" s="21">
        <f t="shared" si="7"/>
        <v>7010461717.8500004</v>
      </c>
      <c r="U14" s="12"/>
      <c r="V14" s="22"/>
      <c r="W14" s="13"/>
    </row>
    <row r="15" spans="1:23" ht="19.5" customHeight="1" x14ac:dyDescent="0.15">
      <c r="A15" s="7" t="s">
        <v>11</v>
      </c>
      <c r="B15" s="11">
        <v>45116855.490000002</v>
      </c>
      <c r="C15" s="11">
        <v>43069045.640000001</v>
      </c>
      <c r="D15" s="11">
        <v>55673000</v>
      </c>
      <c r="E15" s="11">
        <v>64745165.280000001</v>
      </c>
      <c r="F15" s="11">
        <v>60731919.229999997</v>
      </c>
      <c r="G15" s="11">
        <v>71739712.539999992</v>
      </c>
      <c r="H15" s="21">
        <v>63000000</v>
      </c>
      <c r="I15" s="21">
        <v>75000000</v>
      </c>
      <c r="J15" s="21">
        <v>1017487269.65</v>
      </c>
      <c r="K15" s="21">
        <v>0</v>
      </c>
      <c r="L15" s="21">
        <v>100924997.43000001</v>
      </c>
      <c r="M15" s="21">
        <v>78750999.890000001</v>
      </c>
      <c r="N15" s="21">
        <v>286998782</v>
      </c>
      <c r="O15" s="21">
        <v>879522089.02999997</v>
      </c>
      <c r="P15" s="21">
        <v>75700000</v>
      </c>
      <c r="Q15" s="21">
        <v>0</v>
      </c>
      <c r="R15" s="21">
        <v>32595355.48</v>
      </c>
      <c r="S15" s="21">
        <v>1820750</v>
      </c>
      <c r="T15" s="21">
        <f t="shared" si="7"/>
        <v>2952875941.6600003</v>
      </c>
      <c r="U15" s="12"/>
      <c r="V15" s="22"/>
      <c r="W15" s="13"/>
    </row>
    <row r="16" spans="1:23" ht="19.5" customHeight="1" x14ac:dyDescent="0.15">
      <c r="A16" s="7" t="s">
        <v>12</v>
      </c>
      <c r="B16" s="11">
        <v>0</v>
      </c>
      <c r="C16" s="11"/>
      <c r="D16" s="11">
        <v>6024246.4900000002</v>
      </c>
      <c r="E16" s="11">
        <v>12642411.130000001</v>
      </c>
      <c r="F16" s="11">
        <v>177399245.75999999</v>
      </c>
      <c r="G16" s="11">
        <v>379626745.88999999</v>
      </c>
      <c r="H16" s="21">
        <v>356184787.57899994</v>
      </c>
      <c r="I16" s="21">
        <v>84205378.940000027</v>
      </c>
      <c r="J16" s="21">
        <v>1210130535.9500003</v>
      </c>
      <c r="K16" s="21">
        <v>2868208210.6899996</v>
      </c>
      <c r="L16" s="21">
        <v>311517419.69</v>
      </c>
      <c r="M16" s="21">
        <v>10380177759.32</v>
      </c>
      <c r="N16" s="21">
        <v>836476279.13999999</v>
      </c>
      <c r="O16" s="21">
        <v>3236322435.4200001</v>
      </c>
      <c r="P16" s="21">
        <v>240545995.32999998</v>
      </c>
      <c r="Q16" s="21">
        <v>28053355.52</v>
      </c>
      <c r="R16" s="21">
        <v>289054689.19000006</v>
      </c>
      <c r="S16" s="21">
        <v>139356485.94</v>
      </c>
      <c r="T16" s="21">
        <f t="shared" si="7"/>
        <v>20555925981.979</v>
      </c>
      <c r="U16" s="12"/>
      <c r="V16" s="22"/>
      <c r="W16" s="13"/>
    </row>
    <row r="17" spans="1:23" ht="19.5" customHeight="1" x14ac:dyDescent="0.15">
      <c r="A17" s="7" t="s">
        <v>13</v>
      </c>
      <c r="B17" s="11">
        <f>35240795.58+75600000</f>
        <v>110840795.58</v>
      </c>
      <c r="C17" s="11">
        <v>1288227.1399999999</v>
      </c>
      <c r="D17" s="11">
        <v>0</v>
      </c>
      <c r="E17" s="11">
        <v>0</v>
      </c>
      <c r="F17" s="11">
        <f>64900000+264500000</f>
        <v>329400000</v>
      </c>
      <c r="G17" s="11">
        <f>100000+66500000</f>
        <v>66600000</v>
      </c>
      <c r="H17" s="21">
        <f>3665000+14700000</f>
        <v>18365000</v>
      </c>
      <c r="I17" s="21">
        <v>4800000</v>
      </c>
      <c r="J17" s="21">
        <v>26645523.140000001</v>
      </c>
      <c r="K17" s="21">
        <v>135202181.31</v>
      </c>
      <c r="L17" s="21">
        <v>21291200</v>
      </c>
      <c r="M17" s="21">
        <v>1418685596.77</v>
      </c>
      <c r="N17" s="21">
        <v>3779836232.1399999</v>
      </c>
      <c r="O17" s="21">
        <v>3760739411.71</v>
      </c>
      <c r="P17" s="21">
        <v>1261424961.3699999</v>
      </c>
      <c r="Q17" s="21">
        <v>268015829.33000001</v>
      </c>
      <c r="R17" s="21">
        <v>69348010.659999996</v>
      </c>
      <c r="S17" s="21">
        <v>0</v>
      </c>
      <c r="T17" s="21">
        <f t="shared" si="7"/>
        <v>11272482969.15</v>
      </c>
      <c r="U17" s="12"/>
      <c r="V17" s="22"/>
      <c r="W17" s="13"/>
    </row>
    <row r="18" spans="1:23" ht="19.5" customHeight="1" x14ac:dyDescent="0.15">
      <c r="A18" s="7" t="s">
        <v>14</v>
      </c>
      <c r="B18" s="11">
        <f>9661700000+1312100000</f>
        <v>10973800000</v>
      </c>
      <c r="C18" s="11">
        <f>10090367.85+5087100000+526000000</f>
        <v>5623190367.8500004</v>
      </c>
      <c r="D18" s="11">
        <f>356166264.31+3504400000+13838700000</f>
        <v>17699266264.310001</v>
      </c>
      <c r="E18" s="11">
        <f>143945173.28+3906500000+1040600000</f>
        <v>5091045173.2800007</v>
      </c>
      <c r="F18" s="11">
        <f>296095778.11+3409000000+2590800000</f>
        <v>6295895778.1100006</v>
      </c>
      <c r="G18" s="11">
        <f>1002300000+1100800000</f>
        <v>2103100000</v>
      </c>
      <c r="H18" s="21">
        <f>521400000+807900000</f>
        <v>1329300000</v>
      </c>
      <c r="I18" s="21">
        <v>23048498142.340042</v>
      </c>
      <c r="J18" s="21">
        <v>7775853444.7457647</v>
      </c>
      <c r="K18" s="21">
        <v>27586814497.064438</v>
      </c>
      <c r="L18" s="21">
        <v>14109415153.991032</v>
      </c>
      <c r="M18" s="21">
        <v>20141906670.819946</v>
      </c>
      <c r="N18" s="21">
        <v>40352585629.805473</v>
      </c>
      <c r="O18" s="21">
        <v>33624786884.645267</v>
      </c>
      <c r="P18" s="21">
        <v>49594188690.769997</v>
      </c>
      <c r="Q18" s="21">
        <v>43966410137.489998</v>
      </c>
      <c r="R18" s="21">
        <v>50591800552.180008</v>
      </c>
      <c r="S18" s="21">
        <v>4737308547.0799999</v>
      </c>
      <c r="T18" s="21">
        <f t="shared" si="7"/>
        <v>364645165934.48199</v>
      </c>
      <c r="U18" s="12"/>
      <c r="V18" s="22"/>
      <c r="W18" s="13"/>
    </row>
    <row r="19" spans="1:23" ht="19.5" customHeight="1" x14ac:dyDescent="0.15">
      <c r="A19" s="7" t="s">
        <v>15</v>
      </c>
      <c r="B19" s="11">
        <v>174177465.88</v>
      </c>
      <c r="C19" s="11">
        <f>510085810.67+21300000</f>
        <v>531385810.67000002</v>
      </c>
      <c r="D19" s="11">
        <f>309726399.86+96100000</f>
        <v>405826399.86000001</v>
      </c>
      <c r="E19" s="11">
        <v>750625740.14999998</v>
      </c>
      <c r="F19" s="11">
        <v>498084469.63999999</v>
      </c>
      <c r="G19" s="11">
        <f>192385279.37+50000000</f>
        <v>242385279.37</v>
      </c>
      <c r="H19" s="21">
        <v>60149416.699999996</v>
      </c>
      <c r="I19" s="21">
        <v>72433018.829999998</v>
      </c>
      <c r="J19" s="21">
        <v>496562014.68999994</v>
      </c>
      <c r="K19" s="21">
        <v>420043924.13</v>
      </c>
      <c r="L19" s="21">
        <v>244596374.81999999</v>
      </c>
      <c r="M19" s="21">
        <v>444673440.63999999</v>
      </c>
      <c r="N19" s="21">
        <v>136589898</v>
      </c>
      <c r="O19" s="21">
        <v>1280942222.0699999</v>
      </c>
      <c r="P19" s="21">
        <v>147579581.27000001</v>
      </c>
      <c r="Q19" s="21">
        <v>583558018.71000004</v>
      </c>
      <c r="R19" s="21">
        <v>100376106.72</v>
      </c>
      <c r="S19" s="21">
        <v>0</v>
      </c>
      <c r="T19" s="21">
        <f t="shared" si="7"/>
        <v>6589989182.1500006</v>
      </c>
      <c r="U19" s="12"/>
      <c r="V19" s="22"/>
      <c r="W19" s="13"/>
    </row>
    <row r="20" spans="1:23" ht="19.5" customHeight="1" x14ac:dyDescent="0.15">
      <c r="A20" s="7" t="s">
        <v>16</v>
      </c>
      <c r="B20" s="11">
        <v>9822932.7899999991</v>
      </c>
      <c r="C20" s="11">
        <v>75179957.530000001</v>
      </c>
      <c r="D20" s="11">
        <v>74066263.129999995</v>
      </c>
      <c r="E20" s="11">
        <v>145962156.36000001</v>
      </c>
      <c r="F20" s="11">
        <v>203589863.03</v>
      </c>
      <c r="G20" s="11">
        <v>487619047.7606256</v>
      </c>
      <c r="H20" s="21">
        <v>389916514.70999992</v>
      </c>
      <c r="I20" s="21">
        <v>478109109.56</v>
      </c>
      <c r="J20" s="21">
        <v>288859817.14999998</v>
      </c>
      <c r="K20" s="21">
        <v>34060922.959999993</v>
      </c>
      <c r="L20" s="21">
        <v>175426759.54999998</v>
      </c>
      <c r="M20" s="21">
        <v>159351464.87</v>
      </c>
      <c r="N20" s="21">
        <v>26762881.889999997</v>
      </c>
      <c r="O20" s="21">
        <v>1156487.44</v>
      </c>
      <c r="P20" s="21">
        <v>1072000000</v>
      </c>
      <c r="Q20" s="21">
        <v>0</v>
      </c>
      <c r="R20" s="21">
        <v>4000000</v>
      </c>
      <c r="S20" s="21">
        <v>0</v>
      </c>
      <c r="T20" s="21">
        <f t="shared" si="7"/>
        <v>3625884178.7306256</v>
      </c>
      <c r="U20" s="12"/>
      <c r="V20" s="22"/>
      <c r="W20" s="13"/>
    </row>
    <row r="21" spans="1:23" ht="19.5" customHeight="1" x14ac:dyDescent="0.15">
      <c r="A21" s="7" t="s">
        <v>17</v>
      </c>
      <c r="B21" s="11">
        <v>228638056.28999999</v>
      </c>
      <c r="C21" s="11">
        <v>33224152.969999999</v>
      </c>
      <c r="D21" s="11">
        <f>153476494.4+90900000</f>
        <v>244376494.40000001</v>
      </c>
      <c r="E21" s="11">
        <v>84337194.689999998</v>
      </c>
      <c r="F21" s="11">
        <v>104648261.69</v>
      </c>
      <c r="G21" s="11">
        <v>76923643.950000003</v>
      </c>
      <c r="H21" s="21">
        <f>575000000+127000000</f>
        <v>702000000</v>
      </c>
      <c r="I21" s="21">
        <v>272000000</v>
      </c>
      <c r="J21" s="21">
        <v>579800000</v>
      </c>
      <c r="K21" s="21">
        <v>556756539.9599998</v>
      </c>
      <c r="L21" s="21">
        <v>283148991.86000001</v>
      </c>
      <c r="M21" s="21">
        <v>40919311.700000003</v>
      </c>
      <c r="N21" s="21">
        <v>492496670.05000001</v>
      </c>
      <c r="O21" s="21">
        <v>890000000</v>
      </c>
      <c r="P21" s="21">
        <v>291554683.73000002</v>
      </c>
      <c r="Q21" s="21">
        <v>0</v>
      </c>
      <c r="R21" s="21">
        <v>0</v>
      </c>
      <c r="S21" s="21">
        <v>0</v>
      </c>
      <c r="T21" s="21">
        <f t="shared" si="7"/>
        <v>4880824001.289999</v>
      </c>
      <c r="U21" s="12"/>
      <c r="V21" s="22"/>
      <c r="W21" s="13"/>
    </row>
    <row r="22" spans="1:23" ht="19.5" customHeight="1" x14ac:dyDescent="0.15">
      <c r="A22" s="7" t="s">
        <v>18</v>
      </c>
      <c r="B22" s="11">
        <v>129374920.29000001</v>
      </c>
      <c r="C22" s="11">
        <v>350314441.37</v>
      </c>
      <c r="D22" s="11">
        <v>445783981.72000003</v>
      </c>
      <c r="E22" s="11">
        <v>432169.03</v>
      </c>
      <c r="F22" s="11">
        <v>201104429</v>
      </c>
      <c r="G22" s="11">
        <v>11316863.99</v>
      </c>
      <c r="H22" s="21">
        <v>13920750</v>
      </c>
      <c r="I22" s="21">
        <v>27842147.41</v>
      </c>
      <c r="J22" s="21">
        <v>3999500</v>
      </c>
      <c r="K22" s="21">
        <v>6951237.0700000003</v>
      </c>
      <c r="L22" s="21">
        <v>24152922.969999999</v>
      </c>
      <c r="M22" s="21">
        <v>0</v>
      </c>
      <c r="N22" s="21">
        <v>847386755</v>
      </c>
      <c r="O22" s="21">
        <v>191017051.66</v>
      </c>
      <c r="P22" s="21">
        <v>495001166.26999998</v>
      </c>
      <c r="Q22" s="21">
        <v>940116838.36000013</v>
      </c>
      <c r="R22" s="21">
        <v>0</v>
      </c>
      <c r="S22" s="21">
        <v>0</v>
      </c>
      <c r="T22" s="21">
        <f t="shared" si="7"/>
        <v>3688715174.1400003</v>
      </c>
      <c r="U22" s="12"/>
      <c r="V22" s="22"/>
      <c r="W22" s="13"/>
    </row>
    <row r="23" spans="1:23" ht="19.5" customHeight="1" x14ac:dyDescent="0.15">
      <c r="A23" s="7" t="s">
        <v>19</v>
      </c>
      <c r="B23" s="11">
        <f>92015300.17+148000000</f>
        <v>240015300.17000002</v>
      </c>
      <c r="C23" s="11">
        <f>440973737.35+134000000</f>
        <v>574973737.35000002</v>
      </c>
      <c r="D23" s="11">
        <f>366029659.62+103600000</f>
        <v>469629659.62</v>
      </c>
      <c r="E23" s="11">
        <f>332293167.63+94200000</f>
        <v>426493167.63</v>
      </c>
      <c r="F23" s="11">
        <f>526251894.9+84700000</f>
        <v>610951894.89999998</v>
      </c>
      <c r="G23" s="11">
        <f>836163571.99+48700000</f>
        <v>884863571.99000001</v>
      </c>
      <c r="H23" s="21">
        <f>974255648.571+13900000</f>
        <v>988155648.57099998</v>
      </c>
      <c r="I23" s="21">
        <v>805548901.3599999</v>
      </c>
      <c r="J23" s="21">
        <v>2930066757.7299995</v>
      </c>
      <c r="K23" s="21">
        <v>3266488358.8999996</v>
      </c>
      <c r="L23" s="21">
        <v>1276932731.6700001</v>
      </c>
      <c r="M23" s="21">
        <v>1351062192.76</v>
      </c>
      <c r="N23" s="21">
        <v>1695234924.7900002</v>
      </c>
      <c r="O23" s="21">
        <v>2747559388.0799999</v>
      </c>
      <c r="P23" s="21">
        <v>1629769654.6400001</v>
      </c>
      <c r="Q23" s="21">
        <v>881591068.47000003</v>
      </c>
      <c r="R23" s="21">
        <v>1375590356.6799998</v>
      </c>
      <c r="S23" s="21">
        <v>272974087</v>
      </c>
      <c r="T23" s="21">
        <f t="shared" si="7"/>
        <v>22427901402.311001</v>
      </c>
      <c r="U23" s="12"/>
      <c r="V23" s="22"/>
      <c r="W23" s="13"/>
    </row>
    <row r="24" spans="1:23" ht="19.5" customHeight="1" x14ac:dyDescent="0.15">
      <c r="A24" s="8" t="s">
        <v>20</v>
      </c>
      <c r="B24" s="11">
        <f>1445642.07+3700000</f>
        <v>5145642.07</v>
      </c>
      <c r="C24" s="11">
        <f>123382230.23+5400000</f>
        <v>128782230.23</v>
      </c>
      <c r="D24" s="11">
        <f>148518937.91+1858300000+219800000</f>
        <v>2226618937.9099998</v>
      </c>
      <c r="E24" s="11">
        <f>72884956.17+341600000</f>
        <v>414484956.17000002</v>
      </c>
      <c r="F24" s="11">
        <f>636748819.64+1076400000</f>
        <v>1713148819.6399999</v>
      </c>
      <c r="G24" s="11">
        <f>666645163.04+277800000</f>
        <v>944445163.03999996</v>
      </c>
      <c r="H24" s="21">
        <f>597419941.1635+2110000000</f>
        <v>2707419941.1634998</v>
      </c>
      <c r="I24" s="21">
        <v>371501139.36000001</v>
      </c>
      <c r="J24" s="21">
        <v>222894011.24000001</v>
      </c>
      <c r="K24" s="21">
        <v>1285742199.408025</v>
      </c>
      <c r="L24" s="21">
        <v>1041707196.02</v>
      </c>
      <c r="M24" s="21">
        <v>153402764.44999999</v>
      </c>
      <c r="N24" s="21">
        <v>2136956602.5799999</v>
      </c>
      <c r="O24" s="21">
        <v>2920888852.1900001</v>
      </c>
      <c r="P24" s="21">
        <v>2731691831.2599998</v>
      </c>
      <c r="Q24" s="21">
        <v>210341358.18000001</v>
      </c>
      <c r="R24" s="21">
        <v>2047151548.8399999</v>
      </c>
      <c r="S24" s="21">
        <v>1521242699.6900001</v>
      </c>
      <c r="T24" s="21">
        <f t="shared" si="7"/>
        <v>22783565893.441525</v>
      </c>
      <c r="U24" s="12"/>
      <c r="V24" s="22"/>
      <c r="W24" s="13"/>
    </row>
    <row r="25" spans="1:23" ht="19.5" customHeight="1" x14ac:dyDescent="0.15">
      <c r="A25" s="8" t="s">
        <v>21</v>
      </c>
      <c r="B25" s="11">
        <v>343666.88</v>
      </c>
      <c r="C25" s="11">
        <v>80090916.310000002</v>
      </c>
      <c r="D25" s="11">
        <v>11113176.460000001</v>
      </c>
      <c r="E25" s="11">
        <v>152005772.06999999</v>
      </c>
      <c r="F25" s="11">
        <v>264349281.37</v>
      </c>
      <c r="G25" s="11">
        <f>476461050.33+21600000</f>
        <v>498061050.32999998</v>
      </c>
      <c r="H25" s="21">
        <f>37391588.9865+56900000</f>
        <v>94291588.986499995</v>
      </c>
      <c r="I25" s="21">
        <v>1911869506.23</v>
      </c>
      <c r="J25" s="21">
        <v>337267621.15999997</v>
      </c>
      <c r="K25" s="21">
        <v>732137234.9600004</v>
      </c>
      <c r="L25" s="21">
        <v>153283258.31</v>
      </c>
      <c r="M25" s="21">
        <v>1563599604.4299998</v>
      </c>
      <c r="N25" s="21">
        <v>66381816.689999998</v>
      </c>
      <c r="O25" s="21">
        <v>1096288503.1500001</v>
      </c>
      <c r="P25" s="21">
        <v>2526331413.6800003</v>
      </c>
      <c r="Q25" s="21">
        <v>792810399.19999993</v>
      </c>
      <c r="R25" s="21">
        <v>779655361.26999998</v>
      </c>
      <c r="S25" s="21">
        <v>19552201.98</v>
      </c>
      <c r="T25" s="21">
        <f t="shared" si="7"/>
        <v>11079432373.466501</v>
      </c>
      <c r="U25" s="12"/>
      <c r="V25" s="22"/>
      <c r="W25" s="13"/>
    </row>
    <row r="26" spans="1:23" ht="19.5" customHeight="1" x14ac:dyDescent="0.15">
      <c r="A26" s="7" t="s">
        <v>22</v>
      </c>
      <c r="B26" s="11">
        <v>1089818.53</v>
      </c>
      <c r="C26" s="11">
        <v>4508743.57</v>
      </c>
      <c r="D26" s="11">
        <v>83573332</v>
      </c>
      <c r="E26" s="11">
        <v>83990403.019999996</v>
      </c>
      <c r="F26" s="11">
        <v>146518258.63</v>
      </c>
      <c r="G26" s="11">
        <v>105598656.71000001</v>
      </c>
      <c r="H26" s="21">
        <v>4120412</v>
      </c>
      <c r="I26" s="21">
        <v>15000000</v>
      </c>
      <c r="J26" s="21">
        <v>27000000</v>
      </c>
      <c r="K26" s="21">
        <v>500000</v>
      </c>
      <c r="L26" s="21">
        <v>189075604.17000002</v>
      </c>
      <c r="M26" s="21">
        <v>94367260.769999996</v>
      </c>
      <c r="N26" s="21">
        <v>220195401.84</v>
      </c>
      <c r="O26" s="21">
        <v>2184411546.6300001</v>
      </c>
      <c r="P26" s="21">
        <v>153077651.12</v>
      </c>
      <c r="Q26" s="21">
        <v>0</v>
      </c>
      <c r="R26" s="21">
        <v>169488991.41</v>
      </c>
      <c r="S26" s="21">
        <v>3010000</v>
      </c>
      <c r="T26" s="21">
        <f t="shared" si="7"/>
        <v>3485526080.4000001</v>
      </c>
      <c r="U26" s="12"/>
      <c r="V26" s="22"/>
      <c r="W26" s="13"/>
    </row>
    <row r="27" spans="1:23" ht="19.5" customHeight="1" x14ac:dyDescent="0.15">
      <c r="A27" s="7" t="s">
        <v>23</v>
      </c>
      <c r="B27" s="11">
        <v>17764466.690000001</v>
      </c>
      <c r="C27" s="11">
        <v>23655042.640000001</v>
      </c>
      <c r="D27" s="11">
        <v>24390303.449999999</v>
      </c>
      <c r="E27" s="11">
        <v>6724966.1399999997</v>
      </c>
      <c r="F27" s="11">
        <f>119041557.08+100000000</f>
        <v>219041557.07999998</v>
      </c>
      <c r="G27" s="11">
        <f>53783579.47+38500000</f>
        <v>92283579.469999999</v>
      </c>
      <c r="H27" s="21">
        <f>81646727.287+167000000</f>
        <v>248646727.287</v>
      </c>
      <c r="I27" s="21">
        <v>61537303.510000005</v>
      </c>
      <c r="J27" s="21">
        <v>43372283.179999992</v>
      </c>
      <c r="K27" s="21">
        <v>149068514</v>
      </c>
      <c r="L27" s="21">
        <v>686294980.75999999</v>
      </c>
      <c r="M27" s="21">
        <v>274918333.36000001</v>
      </c>
      <c r="N27" s="21">
        <v>314282096.13000005</v>
      </c>
      <c r="O27" s="21">
        <v>3987000</v>
      </c>
      <c r="P27" s="21">
        <v>2585658526.3699999</v>
      </c>
      <c r="Q27" s="21">
        <v>19768723.969999999</v>
      </c>
      <c r="R27" s="21">
        <v>21320270.529999997</v>
      </c>
      <c r="S27" s="21">
        <v>9879549.6000000015</v>
      </c>
      <c r="T27" s="21">
        <f t="shared" si="7"/>
        <v>4802594224.1669998</v>
      </c>
      <c r="U27" s="12"/>
      <c r="V27" s="22"/>
      <c r="W27" s="13"/>
    </row>
    <row r="28" spans="1:23" ht="19.5" customHeight="1" x14ac:dyDescent="0.15">
      <c r="A28" s="8" t="s">
        <v>24</v>
      </c>
      <c r="B28" s="11">
        <v>107048172.77</v>
      </c>
      <c r="C28" s="11">
        <v>76273564.569999993</v>
      </c>
      <c r="D28" s="11">
        <v>167265711.19999999</v>
      </c>
      <c r="E28" s="11">
        <v>242610651.78</v>
      </c>
      <c r="F28" s="11">
        <v>700329609.01999998</v>
      </c>
      <c r="G28" s="11">
        <f>393745221.69+31600000</f>
        <v>425345221.69</v>
      </c>
      <c r="H28" s="21">
        <v>39553534.860000007</v>
      </c>
      <c r="I28" s="21">
        <v>39637956.489999995</v>
      </c>
      <c r="J28" s="21">
        <v>150394877.31</v>
      </c>
      <c r="K28" s="21">
        <v>1655449536.4400001</v>
      </c>
      <c r="L28" s="21">
        <v>2415006382.8800001</v>
      </c>
      <c r="M28" s="21">
        <v>3054160627.7200003</v>
      </c>
      <c r="N28" s="21">
        <v>4031160299.9199996</v>
      </c>
      <c r="O28" s="21">
        <v>1499477321.3999999</v>
      </c>
      <c r="P28" s="21">
        <v>61282580.620000005</v>
      </c>
      <c r="Q28" s="21">
        <v>0</v>
      </c>
      <c r="R28" s="21">
        <v>3100444714.1700001</v>
      </c>
      <c r="S28" s="21">
        <v>492802081.5</v>
      </c>
      <c r="T28" s="21">
        <f t="shared" si="7"/>
        <v>18258242844.34</v>
      </c>
      <c r="U28" s="12"/>
      <c r="V28" s="22"/>
      <c r="W28" s="13"/>
    </row>
    <row r="29" spans="1:23" ht="19.5" customHeight="1" x14ac:dyDescent="0.15">
      <c r="A29" s="7" t="s">
        <v>25</v>
      </c>
      <c r="B29" s="11">
        <v>0</v>
      </c>
      <c r="C29" s="11">
        <v>30906301.960000001</v>
      </c>
      <c r="D29" s="11">
        <v>201498000</v>
      </c>
      <c r="E29" s="11">
        <f>99248000+98000000</f>
        <v>197248000</v>
      </c>
      <c r="F29" s="11">
        <f>34436842.5+214800000</f>
        <v>249236842.5</v>
      </c>
      <c r="G29" s="11">
        <f>53946238.34+87700000</f>
        <v>141646238.34</v>
      </c>
      <c r="H29" s="21">
        <f>1092826671.25+76200000</f>
        <v>1169026671.25</v>
      </c>
      <c r="I29" s="21">
        <v>3617000</v>
      </c>
      <c r="J29" s="21">
        <v>291141818.38999999</v>
      </c>
      <c r="K29" s="21">
        <v>228977696.31</v>
      </c>
      <c r="L29" s="21">
        <v>42665654.320000008</v>
      </c>
      <c r="M29" s="21">
        <v>1083516009.5</v>
      </c>
      <c r="N29" s="21">
        <v>1876334677.8000002</v>
      </c>
      <c r="O29" s="21">
        <v>1672057515.6800001</v>
      </c>
      <c r="P29" s="21">
        <v>697850613.16000009</v>
      </c>
      <c r="Q29" s="21">
        <v>434148167.74000001</v>
      </c>
      <c r="R29" s="21">
        <v>55352655.280000001</v>
      </c>
      <c r="S29" s="21">
        <v>0</v>
      </c>
      <c r="T29" s="21">
        <f t="shared" si="7"/>
        <v>8375223862.2300005</v>
      </c>
      <c r="U29" s="12"/>
      <c r="V29" s="22"/>
      <c r="W29" s="13"/>
    </row>
    <row r="30" spans="1:23" ht="19.5" customHeight="1" x14ac:dyDescent="0.15">
      <c r="A30" s="7" t="s">
        <v>26</v>
      </c>
      <c r="B30" s="11">
        <f>156595529.8+91000000</f>
        <v>247595529.80000001</v>
      </c>
      <c r="C30" s="11">
        <f>185101967.9+127100000</f>
        <v>312201967.89999998</v>
      </c>
      <c r="D30" s="11">
        <v>246662399.34</v>
      </c>
      <c r="E30" s="11">
        <v>551797240.41999996</v>
      </c>
      <c r="F30" s="11">
        <v>761495868.51999998</v>
      </c>
      <c r="G30" s="11">
        <f>238909958.05+415000000</f>
        <v>653909958.04999995</v>
      </c>
      <c r="H30" s="21">
        <f>97429714.805+275000000</f>
        <v>372429714.80500001</v>
      </c>
      <c r="I30" s="21">
        <v>91967635.99000001</v>
      </c>
      <c r="J30" s="21">
        <v>1710279432.1899998</v>
      </c>
      <c r="K30" s="21">
        <v>288109359.12</v>
      </c>
      <c r="L30" s="21">
        <v>224979414.81</v>
      </c>
      <c r="M30" s="21">
        <v>171298341.94</v>
      </c>
      <c r="N30" s="21">
        <v>842166774.84000003</v>
      </c>
      <c r="O30" s="21">
        <v>181595920.86000001</v>
      </c>
      <c r="P30" s="21">
        <v>641264464.91000009</v>
      </c>
      <c r="Q30" s="21">
        <v>101623029.29999998</v>
      </c>
      <c r="R30" s="21">
        <v>71310471.25</v>
      </c>
      <c r="S30" s="21">
        <v>0</v>
      </c>
      <c r="T30" s="21">
        <f t="shared" si="7"/>
        <v>7470687524.0449991</v>
      </c>
      <c r="U30" s="12"/>
      <c r="V30" s="22"/>
      <c r="W30" s="13"/>
    </row>
    <row r="31" spans="1:23" ht="19.5" customHeight="1" x14ac:dyDescent="0.15">
      <c r="A31" s="8" t="s">
        <v>27</v>
      </c>
      <c r="B31" s="11">
        <v>7753925.1399999997</v>
      </c>
      <c r="C31" s="11">
        <v>11297947.26</v>
      </c>
      <c r="D31" s="11">
        <v>0</v>
      </c>
      <c r="E31" s="11">
        <v>0</v>
      </c>
      <c r="F31" s="11">
        <v>158354452.5</v>
      </c>
      <c r="G31" s="11">
        <v>173627001.55000001</v>
      </c>
      <c r="H31" s="21">
        <f>117700000+17000000</f>
        <v>134700000</v>
      </c>
      <c r="I31" s="21">
        <v>18000000</v>
      </c>
      <c r="J31" s="21">
        <v>24000000</v>
      </c>
      <c r="K31" s="21">
        <v>0</v>
      </c>
      <c r="L31" s="21">
        <v>0</v>
      </c>
      <c r="M31" s="21">
        <v>0</v>
      </c>
      <c r="N31" s="21">
        <v>0</v>
      </c>
      <c r="O31" s="21">
        <v>91900000</v>
      </c>
      <c r="P31" s="21">
        <v>237727168.75999999</v>
      </c>
      <c r="Q31" s="21">
        <v>5800000</v>
      </c>
      <c r="R31" s="21">
        <v>0</v>
      </c>
      <c r="S31" s="21">
        <v>0</v>
      </c>
      <c r="T31" s="21">
        <f t="shared" si="7"/>
        <v>863160495.21000004</v>
      </c>
      <c r="U31" s="12"/>
      <c r="V31" s="22"/>
      <c r="W31" s="13"/>
    </row>
    <row r="32" spans="1:23" ht="19.5" customHeight="1" x14ac:dyDescent="0.15">
      <c r="A32" s="7" t="s">
        <v>28</v>
      </c>
      <c r="B32" s="11">
        <v>8411521.3300000001</v>
      </c>
      <c r="C32" s="11">
        <v>111616264.75</v>
      </c>
      <c r="D32" s="11">
        <v>252664035.62</v>
      </c>
      <c r="E32" s="11">
        <f>97390000+154700000</f>
        <v>252090000</v>
      </c>
      <c r="F32" s="11">
        <f>167746351.49+58500000</f>
        <v>226246351.49000001</v>
      </c>
      <c r="G32" s="11">
        <f>270164981.59+129800000</f>
        <v>399964981.58999997</v>
      </c>
      <c r="H32" s="21">
        <f>130182459.081+27500000</f>
        <v>157682459.081</v>
      </c>
      <c r="I32" s="21">
        <v>31600000</v>
      </c>
      <c r="J32" s="21">
        <v>16786427.440000001</v>
      </c>
      <c r="K32" s="21">
        <v>194089411.79000002</v>
      </c>
      <c r="L32" s="21">
        <v>1142247414.6999998</v>
      </c>
      <c r="M32" s="21">
        <v>4077298458.4400005</v>
      </c>
      <c r="N32" s="21">
        <v>242762361</v>
      </c>
      <c r="O32" s="21">
        <v>20098829</v>
      </c>
      <c r="P32" s="21">
        <v>198111043.99000001</v>
      </c>
      <c r="Q32" s="21">
        <v>8955950.8099999987</v>
      </c>
      <c r="R32" s="21">
        <v>0</v>
      </c>
      <c r="S32" s="21">
        <v>2000000000</v>
      </c>
      <c r="T32" s="21">
        <f t="shared" si="7"/>
        <v>9340625511.031002</v>
      </c>
      <c r="U32" s="12"/>
      <c r="V32" s="22"/>
      <c r="W32" s="13"/>
    </row>
    <row r="33" spans="1:23" ht="19.5" customHeight="1" x14ac:dyDescent="0.15">
      <c r="A33" s="8" t="s">
        <v>29</v>
      </c>
      <c r="B33" s="11">
        <f>24714630.62+29400000</f>
        <v>54114630.620000005</v>
      </c>
      <c r="C33" s="11">
        <f>32948999.95+96600000</f>
        <v>129548999.95</v>
      </c>
      <c r="D33" s="11">
        <f>169582874.61+43800000</f>
        <v>213382874.61000001</v>
      </c>
      <c r="E33" s="11">
        <f>3800000+806600000</f>
        <v>810400000</v>
      </c>
      <c r="F33" s="11">
        <f>1966639.32+274400000</f>
        <v>276366639.31999999</v>
      </c>
      <c r="G33" s="11">
        <f>431361336.11+764600000</f>
        <v>1195961336.1100001</v>
      </c>
      <c r="H33" s="21">
        <f>22770125.008+95400000</f>
        <v>118170125.008</v>
      </c>
      <c r="I33" s="21">
        <v>74006951.930000007</v>
      </c>
      <c r="J33" s="21">
        <v>67367748.060000002</v>
      </c>
      <c r="K33" s="21">
        <v>173758507.53</v>
      </c>
      <c r="L33" s="21">
        <v>328270195.70999998</v>
      </c>
      <c r="M33" s="21">
        <v>8044358.2999999998</v>
      </c>
      <c r="N33" s="21">
        <v>191537834.94999999</v>
      </c>
      <c r="O33" s="21">
        <v>0</v>
      </c>
      <c r="P33" s="21">
        <v>0</v>
      </c>
      <c r="Q33" s="21">
        <v>5660999.5</v>
      </c>
      <c r="R33" s="21">
        <v>0</v>
      </c>
      <c r="S33" s="21">
        <v>0</v>
      </c>
      <c r="T33" s="21">
        <f t="shared" si="7"/>
        <v>3646591201.598</v>
      </c>
      <c r="U33" s="12"/>
      <c r="V33" s="22"/>
      <c r="W33" s="13"/>
    </row>
    <row r="34" spans="1:23" ht="19.5" customHeight="1" x14ac:dyDescent="0.15">
      <c r="A34" s="7" t="s">
        <v>30</v>
      </c>
      <c r="B34" s="11">
        <v>64066092.82</v>
      </c>
      <c r="C34" s="11">
        <f>38496334.48+50000000</f>
        <v>88496334.479999989</v>
      </c>
      <c r="D34" s="11">
        <f>75910278.3+2000000</f>
        <v>77910278.299999997</v>
      </c>
      <c r="E34" s="11">
        <f>78622819.01+796100000</f>
        <v>874722819.00999999</v>
      </c>
      <c r="F34" s="11">
        <v>211213916.84999999</v>
      </c>
      <c r="G34" s="11">
        <f>60247604.03+40500000</f>
        <v>100747604.03</v>
      </c>
      <c r="H34" s="21">
        <v>85297853.761500001</v>
      </c>
      <c r="I34" s="21">
        <v>538332650.57000005</v>
      </c>
      <c r="J34" s="21">
        <v>0</v>
      </c>
      <c r="K34" s="21">
        <v>96732446</v>
      </c>
      <c r="L34" s="21">
        <v>53842131.219999999</v>
      </c>
      <c r="M34" s="21">
        <v>62490530.349999994</v>
      </c>
      <c r="N34" s="21">
        <v>144227958.41999999</v>
      </c>
      <c r="O34" s="21">
        <v>577433798.00999999</v>
      </c>
      <c r="P34" s="21">
        <v>224793298.19</v>
      </c>
      <c r="Q34" s="21">
        <v>32111748.380000003</v>
      </c>
      <c r="R34" s="21">
        <v>4243195.22</v>
      </c>
      <c r="S34" s="21">
        <v>0</v>
      </c>
      <c r="T34" s="21">
        <f t="shared" si="7"/>
        <v>3236662655.6114998</v>
      </c>
      <c r="U34" s="12"/>
      <c r="V34" s="22"/>
      <c r="W34" s="13"/>
    </row>
    <row r="35" spans="1:23" ht="19.5" customHeight="1" x14ac:dyDescent="0.15">
      <c r="A35" s="7" t="s">
        <v>31</v>
      </c>
      <c r="B35" s="11">
        <f>158245942.72+86400000</f>
        <v>244645942.72</v>
      </c>
      <c r="C35" s="11">
        <f>149673667.43+61500000</f>
        <v>211173667.43000001</v>
      </c>
      <c r="D35" s="11">
        <f>173549118.1+69900000</f>
        <v>243449118.09999999</v>
      </c>
      <c r="E35" s="11">
        <f>206360925.66+80400000+69900000</f>
        <v>356660925.65999997</v>
      </c>
      <c r="F35" s="11">
        <v>13873342.119999999</v>
      </c>
      <c r="G35" s="11">
        <v>65396633.000000007</v>
      </c>
      <c r="H35" s="21">
        <v>94739702.230499983</v>
      </c>
      <c r="I35" s="21">
        <v>28699864.77</v>
      </c>
      <c r="J35" s="21">
        <v>62423929.609999999</v>
      </c>
      <c r="K35" s="21">
        <v>10320102.890000001</v>
      </c>
      <c r="L35" s="21">
        <v>1498334859.98</v>
      </c>
      <c r="M35" s="21">
        <v>25533048.66</v>
      </c>
      <c r="N35" s="21">
        <v>544625737.60000002</v>
      </c>
      <c r="O35" s="21">
        <v>15603887.65</v>
      </c>
      <c r="P35" s="21">
        <v>3322591025.3800001</v>
      </c>
      <c r="Q35" s="21">
        <v>0</v>
      </c>
      <c r="R35" s="21">
        <v>42025997.82</v>
      </c>
      <c r="S35" s="21">
        <v>1700000</v>
      </c>
      <c r="T35" s="21">
        <f t="shared" si="7"/>
        <v>6781797785.6204996</v>
      </c>
      <c r="U35" s="12"/>
      <c r="V35" s="22"/>
      <c r="W35" s="13"/>
    </row>
    <row r="36" spans="1:23" ht="19.5" customHeight="1" x14ac:dyDescent="0.15">
      <c r="A36" s="7" t="s">
        <v>32</v>
      </c>
      <c r="B36" s="11">
        <v>15798083.369999999</v>
      </c>
      <c r="C36" s="11">
        <v>0</v>
      </c>
      <c r="D36" s="11">
        <v>0</v>
      </c>
      <c r="E36" s="11">
        <v>0</v>
      </c>
      <c r="F36" s="11">
        <v>0</v>
      </c>
      <c r="G36" s="11">
        <v>95613868.170000002</v>
      </c>
      <c r="H36" s="21">
        <v>134147569.82999995</v>
      </c>
      <c r="I36" s="21">
        <v>0</v>
      </c>
      <c r="J36" s="21">
        <v>54797000</v>
      </c>
      <c r="K36" s="21">
        <v>0</v>
      </c>
      <c r="L36" s="21">
        <v>329448998.74000001</v>
      </c>
      <c r="M36" s="21">
        <v>1070425009.4400001</v>
      </c>
      <c r="N36" s="21">
        <v>1186205655</v>
      </c>
      <c r="O36" s="21">
        <v>0</v>
      </c>
      <c r="P36" s="21">
        <v>0</v>
      </c>
      <c r="Q36" s="21">
        <v>3352724.88</v>
      </c>
      <c r="R36" s="21">
        <v>54978997.839999996</v>
      </c>
      <c r="S36" s="21">
        <v>0</v>
      </c>
      <c r="T36" s="21">
        <f t="shared" si="7"/>
        <v>2944767907.2700005</v>
      </c>
      <c r="U36" s="12"/>
      <c r="V36" s="22"/>
      <c r="W36" s="13"/>
    </row>
    <row r="37" spans="1:23" ht="19.5" customHeight="1" x14ac:dyDescent="0.15">
      <c r="A37" s="7" t="s">
        <v>33</v>
      </c>
      <c r="B37" s="11">
        <v>624607903.40999997</v>
      </c>
      <c r="C37" s="11">
        <v>559598960.91999996</v>
      </c>
      <c r="D37" s="11">
        <v>245796289.59</v>
      </c>
      <c r="E37" s="11">
        <v>341004865.22000003</v>
      </c>
      <c r="F37" s="11">
        <f>125612581.42+93400000</f>
        <v>219012581.42000002</v>
      </c>
      <c r="G37" s="11">
        <f>105395868.9+12100000</f>
        <v>117495868.90000001</v>
      </c>
      <c r="H37" s="21">
        <f>56825924.2325+13600000</f>
        <v>70425924.232500002</v>
      </c>
      <c r="I37" s="21">
        <v>39798049.75</v>
      </c>
      <c r="J37" s="21">
        <v>256450000</v>
      </c>
      <c r="K37" s="21">
        <v>9924671.7400000002</v>
      </c>
      <c r="L37" s="21">
        <v>0</v>
      </c>
      <c r="M37" s="21">
        <v>134627521.46000001</v>
      </c>
      <c r="N37" s="21">
        <v>209043741</v>
      </c>
      <c r="O37" s="21">
        <v>7600640</v>
      </c>
      <c r="P37" s="21">
        <v>602552374.03999996</v>
      </c>
      <c r="Q37" s="21">
        <v>294599648.13</v>
      </c>
      <c r="R37" s="21">
        <v>162319202.49000001</v>
      </c>
      <c r="S37" s="21">
        <v>0</v>
      </c>
      <c r="T37" s="21">
        <f t="shared" si="7"/>
        <v>3894858242.3024998</v>
      </c>
      <c r="U37" s="12"/>
      <c r="V37" s="22"/>
      <c r="W37" s="13"/>
    </row>
    <row r="38" spans="1:23" ht="19.5" customHeight="1" x14ac:dyDescent="0.15">
      <c r="A38" s="7" t="s">
        <v>34</v>
      </c>
      <c r="B38" s="11">
        <v>1921183.16</v>
      </c>
      <c r="C38" s="11">
        <v>1234289.3999999999</v>
      </c>
      <c r="D38" s="11">
        <v>0</v>
      </c>
      <c r="E38" s="11">
        <v>0</v>
      </c>
      <c r="F38" s="11">
        <v>0</v>
      </c>
      <c r="G38" s="1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52829995.740000002</v>
      </c>
      <c r="N38" s="21">
        <v>28595591.439999998</v>
      </c>
      <c r="O38" s="21">
        <v>0</v>
      </c>
      <c r="P38" s="21">
        <v>0</v>
      </c>
      <c r="Q38" s="21">
        <v>22103084.890000001</v>
      </c>
      <c r="R38" s="21">
        <v>0</v>
      </c>
      <c r="S38" s="21">
        <v>0</v>
      </c>
      <c r="T38" s="21">
        <f t="shared" si="7"/>
        <v>106684144.63000001</v>
      </c>
      <c r="U38" s="12"/>
      <c r="V38" s="22"/>
      <c r="W38" s="13"/>
    </row>
    <row r="39" spans="1:23" ht="19.5" customHeight="1" x14ac:dyDescent="0.15">
      <c r="A39" s="7" t="s">
        <v>35</v>
      </c>
      <c r="B39" s="11">
        <v>32722367.859999999</v>
      </c>
      <c r="C39" s="11">
        <v>1038697783.8200001</v>
      </c>
      <c r="D39" s="11">
        <f>2689296974.27+76000000</f>
        <v>2765296974.27</v>
      </c>
      <c r="E39" s="11">
        <v>52806983.960000001</v>
      </c>
      <c r="F39" s="11">
        <f>29471969.45+46000000</f>
        <v>75471969.450000003</v>
      </c>
      <c r="G39" s="11">
        <f>184088037.72+22000000</f>
        <v>206088037.72</v>
      </c>
      <c r="H39" s="21">
        <v>386338107.16650003</v>
      </c>
      <c r="I39" s="21">
        <v>480386527.78000003</v>
      </c>
      <c r="J39" s="21">
        <v>1011697787.26</v>
      </c>
      <c r="K39" s="21">
        <v>653698963.03999996</v>
      </c>
      <c r="L39" s="21">
        <v>361721726.80999994</v>
      </c>
      <c r="M39" s="21">
        <v>6816449141.8899994</v>
      </c>
      <c r="N39" s="21">
        <v>4636132177.1199999</v>
      </c>
      <c r="O39" s="21">
        <v>1748184687.6499999</v>
      </c>
      <c r="P39" s="21">
        <v>1218326966.3799999</v>
      </c>
      <c r="Q39" s="21">
        <v>5139795328.2000008</v>
      </c>
      <c r="R39" s="21">
        <v>178262981.18000001</v>
      </c>
      <c r="S39" s="21">
        <v>7952181.04</v>
      </c>
      <c r="T39" s="21">
        <f t="shared" si="7"/>
        <v>26810030692.596504</v>
      </c>
      <c r="U39" s="12"/>
      <c r="V39" s="22"/>
      <c r="W39" s="13"/>
    </row>
    <row r="40" spans="1:23" ht="19.5" customHeight="1" x14ac:dyDescent="0.15">
      <c r="A40" s="8" t="s">
        <v>36</v>
      </c>
      <c r="B40" s="11">
        <v>73492143.840000004</v>
      </c>
      <c r="C40" s="11">
        <v>10851691.83</v>
      </c>
      <c r="D40" s="11">
        <f>41187039.11+174300000</f>
        <v>215487039.11000001</v>
      </c>
      <c r="E40" s="11">
        <v>36673415.57</v>
      </c>
      <c r="F40" s="11">
        <v>3203665.3</v>
      </c>
      <c r="G40" s="11">
        <v>17988880.600000001</v>
      </c>
      <c r="H40" s="21">
        <v>40920185.103</v>
      </c>
      <c r="I40" s="21">
        <v>1300000</v>
      </c>
      <c r="J40" s="21">
        <v>11600000</v>
      </c>
      <c r="K40" s="21">
        <v>99700000</v>
      </c>
      <c r="L40" s="21">
        <v>11695504.229999999</v>
      </c>
      <c r="M40" s="21">
        <v>651697107.69000006</v>
      </c>
      <c r="N40" s="21">
        <v>0</v>
      </c>
      <c r="O40" s="21">
        <v>1867178814.95</v>
      </c>
      <c r="P40" s="21">
        <v>7025152</v>
      </c>
      <c r="Q40" s="21">
        <v>0</v>
      </c>
      <c r="R40" s="21">
        <v>0</v>
      </c>
      <c r="S40" s="21">
        <v>0</v>
      </c>
      <c r="T40" s="21">
        <f t="shared" si="7"/>
        <v>3048813600.2230005</v>
      </c>
      <c r="U40" s="12"/>
      <c r="V40" s="22"/>
      <c r="W40" s="13"/>
    </row>
    <row r="41" spans="1:23" ht="19.5" customHeight="1" x14ac:dyDescent="0.15">
      <c r="A41" s="7" t="s">
        <v>37</v>
      </c>
      <c r="B41" s="11">
        <v>0</v>
      </c>
      <c r="C41" s="11"/>
      <c r="D41" s="11">
        <v>3649999.99</v>
      </c>
      <c r="E41" s="11">
        <v>30487235.359999999</v>
      </c>
      <c r="F41" s="11">
        <v>31658321.440000001</v>
      </c>
      <c r="G41" s="11">
        <v>27307971.669999998</v>
      </c>
      <c r="H41" s="21">
        <v>17986429.781000003</v>
      </c>
      <c r="I41" s="21">
        <v>39703970.999999993</v>
      </c>
      <c r="J41" s="21">
        <v>403077776.36000001</v>
      </c>
      <c r="K41" s="21">
        <v>19116558.859999999</v>
      </c>
      <c r="L41" s="21">
        <v>0</v>
      </c>
      <c r="M41" s="21">
        <v>0</v>
      </c>
      <c r="N41" s="21">
        <v>624318119.23000002</v>
      </c>
      <c r="O41" s="21">
        <v>453816955.90999997</v>
      </c>
      <c r="P41" s="21">
        <v>818552.57</v>
      </c>
      <c r="Q41" s="21">
        <v>174570557.13999999</v>
      </c>
      <c r="R41" s="21">
        <v>0</v>
      </c>
      <c r="S41" s="21">
        <v>0</v>
      </c>
      <c r="T41" s="21">
        <f t="shared" si="7"/>
        <v>1826512449.3109999</v>
      </c>
      <c r="U41" s="12"/>
      <c r="V41" s="22"/>
      <c r="W41" s="13"/>
    </row>
    <row r="42" spans="1:23" ht="18.75" customHeight="1" x14ac:dyDescent="0.15"/>
    <row r="44" spans="1:23" x14ac:dyDescent="0.15"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</row>
    <row r="45" spans="1:23" x14ac:dyDescent="0.15"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</row>
    <row r="46" spans="1:23" x14ac:dyDescent="0.15"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5"/>
    </row>
  </sheetData>
  <mergeCells count="6">
    <mergeCell ref="A7:A8"/>
    <mergeCell ref="T7:T8"/>
    <mergeCell ref="A1:T1"/>
    <mergeCell ref="A2:T2"/>
    <mergeCell ref="A4:T4"/>
    <mergeCell ref="A6:T6"/>
  </mergeCells>
  <phoneticPr fontId="0" type="noConversion"/>
  <printOptions horizontalCentered="1"/>
  <pageMargins left="0" right="0" top="0.39370078740157483" bottom="0.39370078740157483" header="0" footer="0"/>
  <pageSetup scale="71" orientation="landscape" verticalDpi="0" r:id="rId1"/>
  <headerFooter alignWithMargins="0">
    <oddFooter>&amp;L&amp;"Verdana,Normal"Fuente: GACEME y SOCRSP
&amp;C&amp;"Verdana,Normal"Página &amp;P de &amp;N&amp;R&amp;"Verdana,Normal"&amp;F &amp;A</oddFooter>
  </headerFooter>
  <rowBreaks count="1" manualBreakCount="1">
    <brk id="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Desembolsado</vt:lpstr>
      <vt:lpstr>'Total Desembolsado'!Área_de_impresión</vt:lpstr>
      <vt:lpstr>'Total Desembolsado'!Títulos_a_imprimir</vt:lpstr>
    </vt:vector>
  </TitlesOfParts>
  <Company>Banobras, S.N.C.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Huerta Ochoa</dc:creator>
  <cp:lastModifiedBy>Hernandez Ruiz, Cecilia</cp:lastModifiedBy>
  <cp:lastPrinted>2011-04-06T20:04:33Z</cp:lastPrinted>
  <dcterms:created xsi:type="dcterms:W3CDTF">2007-03-28T15:44:28Z</dcterms:created>
  <dcterms:modified xsi:type="dcterms:W3CDTF">2017-04-06T15:26:15Z</dcterms:modified>
</cp:coreProperties>
</file>